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71" activeTab="2"/>
  </bookViews>
  <sheets>
    <sheet name="FRAME HN +Hp+QN+PT " sheetId="1" r:id="rId1"/>
    <sheet name="FRAME HCM" sheetId="2" r:id="rId2"/>
    <sheet name="FRAME ĐN" sheetId="3" r:id="rId3"/>
  </sheets>
  <definedNames>
    <definedName name="_xlnm.Print_Area" localSheetId="1">'FRAME HCM'!$A$1:$U$352</definedName>
  </definedNames>
  <calcPr fullCalcOnLoad="1"/>
</workbook>
</file>

<file path=xl/comments1.xml><?xml version="1.0" encoding="utf-8"?>
<comments xmlns="http://schemas.openxmlformats.org/spreadsheetml/2006/main">
  <authors>
    <author>tsti</author>
    <author> Vũ Thị Ngọc Bích </author>
  </authors>
  <commentList>
    <comment ref="G489" authorId="0">
      <text>
        <r>
          <rPr>
            <b/>
            <sz val="9"/>
            <rFont val="Tahoma"/>
            <family val="2"/>
          </rPr>
          <t xml:space="preserve">1 hầm
</t>
        </r>
      </text>
    </comment>
    <comment ref="G568" authorId="0">
      <text>
        <r>
          <rPr>
            <b/>
            <sz val="9"/>
            <rFont val="Tahoma"/>
            <family val="2"/>
          </rPr>
          <t>1 hầm</t>
        </r>
      </text>
    </comment>
    <comment ref="G567" authorId="0">
      <text>
        <r>
          <rPr>
            <b/>
            <sz val="9"/>
            <rFont val="Tahoma"/>
            <family val="2"/>
          </rPr>
          <t>1 tần hầm.
Tầng 5: Rạp Cinema</t>
        </r>
      </text>
    </comment>
    <comment ref="G565" authorId="0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G566" authorId="0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G137" authorId="0">
      <text>
        <r>
          <rPr>
            <b/>
            <sz val="9"/>
            <rFont val="Tahoma"/>
            <family val="2"/>
          </rPr>
          <t>2 hầm</t>
        </r>
      </text>
    </comment>
    <comment ref="J137" authorId="0">
      <text>
        <r>
          <rPr>
            <b/>
            <sz val="9"/>
            <rFont val="Tahoma"/>
            <family val="2"/>
          </rPr>
          <t>DF 32 inch</t>
        </r>
      </text>
    </comment>
    <comment ref="G145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</t>
        </r>
      </text>
    </comment>
    <comment ref="G138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Tầng B1: Có rạp chiếu phim Beta </t>
        </r>
      </text>
    </comment>
    <comment ref="G139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Tầng B1 : có rạp chiếu phim Beta </t>
        </r>
      </text>
    </comment>
    <comment ref="G140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Tầng B1 : có rạp chiếu phim Beta </t>
        </r>
      </text>
    </comment>
    <comment ref="G141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</t>
        </r>
      </text>
    </comment>
    <comment ref="G142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</t>
        </r>
      </text>
    </comment>
    <comment ref="G143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</t>
        </r>
      </text>
    </comment>
    <comment ref="G144" authorId="1">
      <text>
        <r>
          <rPr>
            <b/>
            <sz val="9"/>
            <rFont val="Tahoma"/>
            <family val="2"/>
          </rPr>
          <t xml:space="preserve">3 hầm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THUONG</author>
    <author>Duy</author>
    <author>Binhae319</author>
    <author>PhuongThanh</author>
    <author>Lioness</author>
    <author>tsti</author>
    <author>Julie Ho</author>
  </authors>
  <commentList>
    <comment ref="C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treo q.c BDS</t>
        </r>
      </text>
    </comment>
    <comment ref="J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thang A,B,C
DF22
</t>
        </r>
      </text>
    </commen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q.cxe hơi trừ Trường Hải và Honda</t>
        </r>
      </text>
    </comment>
    <comment ref="C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Không q.cao bank trừ ACB Bank
</t>
        </r>
      </text>
    </comment>
    <comment ref="C9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treo bank trừ Saccombank
</t>
        </r>
      </text>
    </comment>
    <comment ref="J93" authorId="1">
      <text>
        <r>
          <rPr>
            <sz val="9"/>
            <rFont val="Tahoma"/>
            <family val="2"/>
          </rPr>
          <t>lắp ngoài thang máy
tầng 1-6: văn phòng
tầng 7-12: căn hộ</t>
        </r>
      </text>
    </comment>
    <comment ref="C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q.c bank và bảo hiểm trừ eximbank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q.c bank và bảo hiểm trừ Prudential </t>
        </r>
      </text>
    </comment>
    <comment ref="C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q.c bảo hiểm trừ Bảo Long Insurance</t>
        </r>
      </text>
    </comment>
    <comment ref="J1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DF 169
tang G va tang 6 la Bao hiem Nha rong
</t>
        </r>
      </text>
    </comment>
    <comment ref="C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q.c bank trừ BIDV</t>
        </r>
      </text>
    </comment>
    <comment ref="C70" authorId="2">
      <text>
        <r>
          <rPr>
            <b/>
            <sz val="9"/>
            <rFont val="Tahoma"/>
            <family val="2"/>
          </rPr>
          <t>Duy:</t>
        </r>
        <r>
          <rPr>
            <sz val="9"/>
            <rFont val="Tahoma"/>
            <family val="2"/>
          </rPr>
          <t xml:space="preserve">
tầng hầm tầng 1
</t>
        </r>
      </text>
    </comment>
    <comment ref="C71" authorId="2">
      <text>
        <r>
          <rPr>
            <b/>
            <sz val="9"/>
            <rFont val="Tahoma"/>
            <family val="2"/>
          </rPr>
          <t>Duy:</t>
        </r>
        <r>
          <rPr>
            <sz val="9"/>
            <rFont val="Tahoma"/>
            <family val="2"/>
          </rPr>
          <t xml:space="preserve">
tầng hầm tầng 1
</t>
        </r>
      </text>
    </comment>
    <comment ref="C72" authorId="2">
      <text>
        <r>
          <rPr>
            <b/>
            <sz val="9"/>
            <rFont val="Tahoma"/>
            <family val="2"/>
          </rPr>
          <t>Duy:</t>
        </r>
        <r>
          <rPr>
            <sz val="9"/>
            <rFont val="Tahoma"/>
            <family val="2"/>
          </rPr>
          <t xml:space="preserve">
tầng hầm tầng 1
</t>
        </r>
      </text>
    </comment>
    <comment ref="C28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SISC</t>
        </r>
      </text>
    </comment>
    <comment ref="C26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treo bank trừ tienphong bank</t>
        </r>
      </text>
    </comment>
    <comment ref="C2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treo bank trừ Techcombank</t>
        </r>
      </text>
    </comment>
    <comment ref="C2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 q.c bank trừ Sacombank</t>
        </r>
      </text>
    </comment>
    <comment ref="G117" authorId="3">
      <text>
        <r>
          <rPr>
            <sz val="9"/>
            <rFont val="Tahoma"/>
            <family val="2"/>
          </rPr>
          <t xml:space="preserve">2 HẦM 
</t>
        </r>
      </text>
    </comment>
    <comment ref="G118" authorId="3">
      <text>
        <r>
          <rPr>
            <sz val="9"/>
            <rFont val="Tahoma"/>
            <family val="2"/>
          </rPr>
          <t xml:space="preserve">2 HẦM
</t>
        </r>
      </text>
    </comment>
    <comment ref="G119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G120" authorId="3">
      <text>
        <r>
          <rPr>
            <sz val="9"/>
            <rFont val="Tahoma"/>
            <family val="2"/>
          </rPr>
          <t xml:space="preserve">2 HẦM
</t>
        </r>
      </text>
    </comment>
    <comment ref="G122" authorId="3">
      <text>
        <r>
          <rPr>
            <sz val="9"/>
            <rFont val="Tahoma"/>
            <family val="2"/>
          </rPr>
          <t xml:space="preserve">2 HẦM
</t>
        </r>
      </text>
    </comment>
    <comment ref="G126" authorId="3">
      <text>
        <r>
          <rPr>
            <sz val="9"/>
            <rFont val="Tahoma"/>
            <family val="2"/>
          </rPr>
          <t xml:space="preserve">2 HẦM
</t>
        </r>
      </text>
    </comment>
    <comment ref="G121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G123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G124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G125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G127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G42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G310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G311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G312" authorId="4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1 hầm
</t>
        </r>
      </text>
    </comment>
    <comment ref="G135" authorId="5">
      <text>
        <r>
          <rPr>
            <b/>
            <sz val="9"/>
            <rFont val="Tahoma"/>
            <family val="2"/>
          </rPr>
          <t>+ 3 hầm</t>
        </r>
      </text>
    </comment>
    <comment ref="G328" authorId="6">
      <text>
        <r>
          <rPr>
            <b/>
            <sz val="9"/>
            <rFont val="Tahoma"/>
            <family val="2"/>
          </rPr>
          <t>1 trệt</t>
        </r>
        <r>
          <rPr>
            <sz val="9"/>
            <rFont val="Tahoma"/>
            <family val="2"/>
          </rPr>
          <t xml:space="preserve">
</t>
        </r>
      </text>
    </comment>
    <comment ref="G329" authorId="6">
      <text>
        <r>
          <rPr>
            <b/>
            <sz val="9"/>
            <rFont val="Tahoma"/>
            <family val="2"/>
          </rPr>
          <t xml:space="preserve">1 trệt
</t>
        </r>
        <r>
          <rPr>
            <sz val="9"/>
            <rFont val="Tahoma"/>
            <family val="2"/>
          </rPr>
          <t xml:space="preserve">
</t>
        </r>
      </text>
    </comment>
    <comment ref="G138" authorId="6">
      <text>
        <r>
          <rPr>
            <b/>
            <sz val="9"/>
            <rFont val="Tahoma"/>
            <family val="2"/>
          </rPr>
          <t>1 hầm</t>
        </r>
        <r>
          <rPr>
            <sz val="9"/>
            <rFont val="Tahoma"/>
            <family val="2"/>
          </rPr>
          <t xml:space="preserve">
</t>
        </r>
      </text>
    </comment>
    <comment ref="G139" authorId="6">
      <text>
        <r>
          <rPr>
            <b/>
            <sz val="9"/>
            <rFont val="Tahoma"/>
            <family val="2"/>
          </rPr>
          <t>2 hầm + 1 trệt</t>
        </r>
        <r>
          <rPr>
            <sz val="9"/>
            <rFont val="Tahoma"/>
            <family val="2"/>
          </rPr>
          <t xml:space="preserve">
</t>
        </r>
      </text>
    </comment>
    <comment ref="G140" authorId="6">
      <text>
        <r>
          <rPr>
            <b/>
            <sz val="9"/>
            <rFont val="Tahoma"/>
            <family val="2"/>
          </rPr>
          <t>1 trệt + 1 hầm</t>
        </r>
        <r>
          <rPr>
            <sz val="9"/>
            <rFont val="Tahoma"/>
            <family val="2"/>
          </rPr>
          <t xml:space="preserve">
</t>
        </r>
      </text>
    </comment>
    <comment ref="G141" authorId="6">
      <text>
        <r>
          <rPr>
            <b/>
            <sz val="9"/>
            <rFont val="Tahoma"/>
            <family val="2"/>
          </rPr>
          <t>1 trệt + 1 hầm</t>
        </r>
        <r>
          <rPr>
            <sz val="9"/>
            <rFont val="Tahoma"/>
            <family val="2"/>
          </rPr>
          <t xml:space="preserve">
</t>
        </r>
      </text>
    </comment>
    <comment ref="J142" authorId="6">
      <text>
        <r>
          <rPr>
            <b/>
            <sz val="9"/>
            <rFont val="Tahoma"/>
            <family val="2"/>
          </rPr>
          <t>Lắp trong 2 thang máy</t>
        </r>
      </text>
    </comment>
    <comment ref="G143" authorId="6">
      <text>
        <r>
          <rPr>
            <b/>
            <sz val="9"/>
            <rFont val="Tahoma"/>
            <family val="2"/>
          </rPr>
          <t>1 trệt, 2 hầm</t>
        </r>
      </text>
    </comment>
    <comment ref="G334" authorId="6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G335" authorId="6">
      <text>
        <r>
          <rPr>
            <b/>
            <sz val="9"/>
            <rFont val="Tahoma"/>
            <family val="2"/>
          </rPr>
          <t>1 trệt, 1 hầm</t>
        </r>
        <r>
          <rPr>
            <sz val="9"/>
            <rFont val="Tahoma"/>
            <family val="2"/>
          </rPr>
          <t xml:space="preserve">
</t>
        </r>
      </text>
    </comment>
    <comment ref="G144" authorId="6">
      <text>
        <r>
          <rPr>
            <b/>
            <sz val="9"/>
            <rFont val="Tahoma"/>
            <family val="2"/>
          </rPr>
          <t>1 trệt, 1 hầm</t>
        </r>
      </text>
    </comment>
    <comment ref="G14" authorId="6">
      <text>
        <r>
          <rPr>
            <b/>
            <sz val="9"/>
            <rFont val="Tahoma"/>
            <family val="2"/>
          </rPr>
          <t>5 tầng TTTM, còn lại là VP</t>
        </r>
      </text>
    </comment>
    <comment ref="M116" authorId="3">
      <text>
        <r>
          <rPr>
            <b/>
            <sz val="9"/>
            <rFont val="Tahoma"/>
            <family val="2"/>
          </rPr>
          <t>Binhae319:</t>
        </r>
        <r>
          <rPr>
            <sz val="9"/>
            <rFont val="Tahoma"/>
            <family val="2"/>
          </rPr>
          <t xml:space="preserve">
</t>
        </r>
      </text>
    </comment>
    <comment ref="G146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</t>
        </r>
      </text>
    </comment>
    <comment ref="J147" authorId="6">
      <text>
        <r>
          <rPr>
            <b/>
            <sz val="9"/>
            <rFont val="Tahoma"/>
            <family val="2"/>
          </rPr>
          <t>Lắp trong 2 thang máy</t>
        </r>
      </text>
    </comment>
    <comment ref="G148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hầm: 13 tầng căn hộ + 2 TTTM</t>
        </r>
      </text>
    </comment>
    <comment ref="G149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hầm: 13 tầng căn hộ + 2 TTTM</t>
        </r>
      </text>
    </comment>
    <comment ref="G336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10 tầng + 1 Trệt + 1 hầm</t>
        </r>
      </text>
    </comment>
    <comment ref="G153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18+2 hầm: từ 1-5 TTTM &amp; VP. Từ 6-18 căn hộ</t>
        </r>
      </text>
    </comment>
    <comment ref="G152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18+2 hầm: từ 1-5 TTTM &amp; VP. Từ 6-18 căn hộ</t>
        </r>
      </text>
    </comment>
    <comment ref="G154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G155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G156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G157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G158" authorId="7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15 tầng + 2 hầm</t>
        </r>
      </text>
    </comment>
  </commentList>
</comments>
</file>

<file path=xl/comments3.xml><?xml version="1.0" encoding="utf-8"?>
<comments xmlns="http://schemas.openxmlformats.org/spreadsheetml/2006/main">
  <authors>
    <author>Lioness</author>
  </authors>
  <commentList>
    <comment ref="C10" authorId="0">
      <text>
        <r>
          <rPr>
            <b/>
            <sz val="9"/>
            <rFont val="Tahoma"/>
            <family val="2"/>
          </rPr>
          <t>Tòa nhà 24 tầng. Sử dụng từ T6 đến T23.</t>
        </r>
      </text>
    </comment>
    <comment ref="J10" authorId="0">
      <text>
        <r>
          <rPr>
            <b/>
            <sz val="9"/>
            <rFont val="Tahoma"/>
            <family val="2"/>
          </rPr>
          <t>trong thang máy.</t>
        </r>
      </text>
    </comment>
    <comment ref="J11" authorId="0">
      <text>
        <r>
          <rPr>
            <b/>
            <sz val="9"/>
            <rFont val="Tahoma"/>
            <family val="2"/>
          </rPr>
          <t>bên trong thang.</t>
        </r>
      </text>
    </comment>
  </commentList>
</comments>
</file>

<file path=xl/sharedStrings.xml><?xml version="1.0" encoding="utf-8"?>
<sst xmlns="http://schemas.openxmlformats.org/spreadsheetml/2006/main" count="5288" uniqueCount="1586">
  <si>
    <t>STT</t>
  </si>
  <si>
    <t>PHÂN LOẠI
 TÒA NHÀ</t>
  </si>
  <si>
    <t xml:space="preserve">TÒA NHÀ   </t>
  </si>
  <si>
    <t>ĐỊA CHỈ</t>
  </si>
  <si>
    <t>QUẬN/ HUYỆN</t>
  </si>
  <si>
    <t>SỐ
TẦNG</t>
  </si>
  <si>
    <t>DIỆN
TÍCH</t>
  </si>
  <si>
    <t>SỐ 
THANG</t>
  </si>
  <si>
    <t xml:space="preserve">CHI PHÍ
IN ẤN </t>
  </si>
  <si>
    <t>SỐ NGƯỜI LÀM VIỆC</t>
  </si>
  <si>
    <t>LƯỢNG KHÁCH/
TUẦN</t>
  </si>
  <si>
    <t>LƯỢT XEM QC/TUẦN</t>
  </si>
  <si>
    <t xml:space="preserve">SỐ FRAME </t>
  </si>
  <si>
    <t>THỜI GIAN 
(Tuần)</t>
  </si>
  <si>
    <t>CHI PHÍ/ 1 TUẦN (VNĐ)</t>
  </si>
  <si>
    <t>TỔNG 
CHI PHÍ
 (VNĐ)</t>
  </si>
  <si>
    <t>LOẠI 1</t>
  </si>
  <si>
    <t>VP</t>
  </si>
  <si>
    <t>A &amp; B buildings</t>
  </si>
  <si>
    <t>76 Lê Lai</t>
  </si>
  <si>
    <t>Quận 1</t>
  </si>
  <si>
    <t>6DF</t>
  </si>
  <si>
    <t>An Phú Plaza</t>
  </si>
  <si>
    <t>117-119 Lý Chính Thắng,</t>
  </si>
  <si>
    <t>Quận 3</t>
  </si>
  <si>
    <t>3DF</t>
  </si>
  <si>
    <t>Bến Thành Times Square</t>
  </si>
  <si>
    <t>172 -174 Ký Con</t>
  </si>
  <si>
    <t>CT plaza A</t>
  </si>
  <si>
    <t>60 Trường Sơn</t>
  </si>
  <si>
    <t>12DF</t>
  </si>
  <si>
    <t>CT plaza B</t>
  </si>
  <si>
    <t>61 Trường Sơn</t>
  </si>
  <si>
    <t>9DF</t>
  </si>
  <si>
    <t>TTTM</t>
  </si>
  <si>
    <t>Lê Duẩn, Phạm Ngọc Thạch</t>
  </si>
  <si>
    <t>Etown 2</t>
  </si>
  <si>
    <t>364 Cộng Hòa</t>
  </si>
  <si>
    <t>Etown 3</t>
  </si>
  <si>
    <t>364 Cộng Hoà</t>
  </si>
  <si>
    <t>4DF</t>
  </si>
  <si>
    <t xml:space="preserve">Green power tower </t>
  </si>
  <si>
    <t>35 Tôn Đức Thắng, p. Bến Nghé</t>
  </si>
  <si>
    <t>5DF</t>
  </si>
  <si>
    <t>Habour View Tower</t>
  </si>
  <si>
    <t>35 Nguyễn Huệ</t>
  </si>
  <si>
    <t>CC</t>
  </si>
  <si>
    <t>Hùng Vương Plaza Block A</t>
  </si>
  <si>
    <t xml:space="preserve">126 Hùng Vương, P.12 </t>
  </si>
  <si>
    <t>Quận 5</t>
  </si>
  <si>
    <t>7DF</t>
  </si>
  <si>
    <t>Hùng Vương Plaza Block B</t>
  </si>
  <si>
    <t>126 Hùng Vương, P.12</t>
  </si>
  <si>
    <t>Indochina Offfice Block A</t>
  </si>
  <si>
    <t xml:space="preserve"> 4 Nguyễn Đình Chiểu</t>
  </si>
  <si>
    <t>Indochina Offfice Block B</t>
  </si>
  <si>
    <t>4 Nguyễn Đình Chiểu</t>
  </si>
  <si>
    <t>Indochina Park Tower</t>
  </si>
  <si>
    <t>Maritime Bank</t>
  </si>
  <si>
    <t>192 Nguyễn Công Trứ</t>
  </si>
  <si>
    <t xml:space="preserve">Mê Linh Point </t>
  </si>
  <si>
    <t>Số 2 Ngô Đức Kế</t>
  </si>
  <si>
    <t>2DF</t>
  </si>
  <si>
    <t>Nowzone Plaza ( TTTM )</t>
  </si>
  <si>
    <t>235 Nguyễn Văn Cừ</t>
  </si>
  <si>
    <t>Parkson</t>
  </si>
  <si>
    <t>8DF</t>
  </si>
  <si>
    <t>Pico Building (Khu office)</t>
  </si>
  <si>
    <t>20 Cộng Hòa</t>
  </si>
  <si>
    <t>Pico Plaza (Khu TTTM)</t>
  </si>
  <si>
    <t>43 Mạc Đĩnh Chi</t>
  </si>
  <si>
    <t xml:space="preserve">Sai Gon finance </t>
  </si>
  <si>
    <t>số 9 Đinh Tiên Hoàng,</t>
  </si>
  <si>
    <t>Sailing tower</t>
  </si>
  <si>
    <t>51 Nguyễn Thị Minh Khai</t>
  </si>
  <si>
    <t xml:space="preserve">Scetpa </t>
  </si>
  <si>
    <t>19A Cộng Hòa, F.12</t>
  </si>
  <si>
    <t>1DF</t>
  </si>
  <si>
    <t>The Manor office</t>
  </si>
  <si>
    <t>91 Nguyễn Hữu Cảnh, P.12</t>
  </si>
  <si>
    <t>The Manor appartment</t>
  </si>
  <si>
    <t>TTTM, VP</t>
  </si>
  <si>
    <t>Zen Plaza</t>
  </si>
  <si>
    <t>54-58 Nguyễn Trãi</t>
  </si>
  <si>
    <t>Royal Tower</t>
  </si>
  <si>
    <t>Số 235 Nguyễn văn Cừ</t>
  </si>
  <si>
    <t>Tản Đà Apartment</t>
  </si>
  <si>
    <t>86 Tản Đà</t>
  </si>
  <si>
    <t>Tản Đà Office</t>
  </si>
  <si>
    <t>Centre Point A</t>
  </si>
  <si>
    <t>106 Nguyễn Văn Trổi</t>
  </si>
  <si>
    <t>Phú Nhuận</t>
  </si>
  <si>
    <t>Centre Point B</t>
  </si>
  <si>
    <t>LOẠI 2</t>
  </si>
  <si>
    <t xml:space="preserve">Abacus tower </t>
  </si>
  <si>
    <t>58 Nguyễn Đình Chiểu, P.Đakao</t>
  </si>
  <si>
    <t xml:space="preserve">Artex Sai gon </t>
  </si>
  <si>
    <t>236-238 Nguyễn Công Trứ</t>
  </si>
  <si>
    <t>Nhật Minh Avila Tower</t>
  </si>
  <si>
    <t>20 Bis Thi Sách</t>
  </si>
  <si>
    <t>VP&amp;CC</t>
  </si>
  <si>
    <t>312 Nguyễn Thượng Hiền</t>
  </si>
  <si>
    <t xml:space="preserve">Cavi Buiding  </t>
  </si>
  <si>
    <t>51D Đinh Bộ Lĩnh, P.26</t>
  </si>
  <si>
    <t>Dakao Center</t>
  </si>
  <si>
    <t>35 Mạc Đĩnh Chi, P. Dakao</t>
  </si>
  <si>
    <t>111D Lý Chinh Thắng</t>
  </si>
  <si>
    <t>Quận 11</t>
  </si>
  <si>
    <t>24 Phan Đăng Lưu, P6</t>
  </si>
  <si>
    <t>Chung cư H2</t>
  </si>
  <si>
    <t>Tòa nhà H2, Hoàng Diệu</t>
  </si>
  <si>
    <t>Quận 4</t>
  </si>
  <si>
    <t>Hoàng Anh River View Apartment Block A1</t>
  </si>
  <si>
    <t xml:space="preserve">37 Nguyễn Văn Hưởng </t>
  </si>
  <si>
    <t>Quận 2</t>
  </si>
  <si>
    <t>Hoàng Anh River View Apartment Block A2</t>
  </si>
  <si>
    <t>37 Nguyễn Văn Hưởng,</t>
  </si>
  <si>
    <t>Hoàng Anh River View Apartment Block B1</t>
  </si>
  <si>
    <t>Hoàng Anh River View Apartment Block B2</t>
  </si>
  <si>
    <t>37 Nguyễn Văn Hưởng</t>
  </si>
  <si>
    <t>Hoàng Anh River View Apartment Block C1</t>
  </si>
  <si>
    <t>Hoàng Anh River View Apartment Block C2</t>
  </si>
  <si>
    <t>Hoàng Tháp Plaza A</t>
  </si>
  <si>
    <t>9A, KDC Trung Sơn, Bình Hưng</t>
  </si>
  <si>
    <t>Hoàng Tháp Plaza B</t>
  </si>
  <si>
    <t>Ăn uống</t>
  </si>
  <si>
    <t>Quận 7</t>
  </si>
  <si>
    <t>IBC</t>
  </si>
  <si>
    <t>1A Công Trường Mê Linh</t>
  </si>
  <si>
    <t>2DF,2SF</t>
  </si>
  <si>
    <t xml:space="preserve">In Thanh Niên </t>
  </si>
  <si>
    <t>62 Trần Huy Liệu, P.12</t>
  </si>
  <si>
    <t>Khang Thông Building</t>
  </si>
  <si>
    <t>67 Nguyễn Thị Minh Khai</t>
  </si>
  <si>
    <t>8A Phùng Khắc Khoan</t>
  </si>
  <si>
    <t>Lữ Gia  apartment</t>
  </si>
  <si>
    <t>70 Lữ Gia, P 15</t>
  </si>
  <si>
    <t>Lữ Gia  office</t>
  </si>
  <si>
    <t>May Fair</t>
  </si>
  <si>
    <t>102A-B Cống Quỳnh</t>
  </si>
  <si>
    <t>17-19 Bà Huyện Thanh Quan, P.6</t>
  </si>
  <si>
    <t>Mỹ Thịnh building</t>
  </si>
  <si>
    <t>137 Lê Quang Định</t>
  </si>
  <si>
    <t>HUD Building</t>
  </si>
  <si>
    <t>Bình Thạnh, Sài Gòn</t>
  </si>
  <si>
    <t xml:space="preserve">Pru Plaza </t>
  </si>
  <si>
    <t>2 - 4 Bến Cần Giuộc</t>
  </si>
  <si>
    <t>Quận 8</t>
  </si>
  <si>
    <t>PVC Office Building</t>
  </si>
  <si>
    <t>11 Bis Nguyễn Gia Thiều</t>
  </si>
  <si>
    <t xml:space="preserve">Tạp chí cộng sản -PVFC </t>
  </si>
  <si>
    <t>19 Phạm Ngọc Thạch</t>
  </si>
  <si>
    <t>60 Nguyễn Đình Chiểu</t>
  </si>
  <si>
    <t xml:space="preserve">Sài Gòn Royal </t>
  </si>
  <si>
    <t>91 Pasteur</t>
  </si>
  <si>
    <t>276 Nguyễn Đình Chiểu, P6</t>
  </si>
  <si>
    <t>Saigon Pavillon</t>
  </si>
  <si>
    <t>53 - 55 Bà Huyện Thanh Quan, P6</t>
  </si>
  <si>
    <t>Satra</t>
  </si>
  <si>
    <t xml:space="preserve"> 275B Phạm Ngũ Lão, Phạm Ngũ Lão</t>
  </si>
  <si>
    <t xml:space="preserve">Silland Tower </t>
  </si>
  <si>
    <t>Tenimex</t>
  </si>
  <si>
    <t>111 - 112 Ngô Gia Tự</t>
  </si>
  <si>
    <t>Quận 10</t>
  </si>
  <si>
    <t>The Morning Star appartment</t>
  </si>
  <si>
    <t>224 Xô Viết Nghệ Tỉnh</t>
  </si>
  <si>
    <t>The Morning Star office</t>
  </si>
  <si>
    <t>225 Xô Viết Nghệ Tỉnh</t>
  </si>
  <si>
    <t>Toà nhà văn phòng Hải Âu</t>
  </si>
  <si>
    <t>39B Trường Sơn, P4</t>
  </si>
  <si>
    <t xml:space="preserve">VN  Business Center </t>
  </si>
  <si>
    <t>57 - 59 Hồ Tùng Mậu</t>
  </si>
  <si>
    <t xml:space="preserve">The Prime </t>
  </si>
  <si>
    <t>37 Hoàng Văn Thụ, P15</t>
  </si>
  <si>
    <t>Chung cư Carillon Block A</t>
  </si>
  <si>
    <t>171 A Hoàng Hoa Thám,Phường 13</t>
  </si>
  <si>
    <t>Chung cư Carillon Block B</t>
  </si>
  <si>
    <t>Chung cư Carillon Block C</t>
  </si>
  <si>
    <t>Chung cư Carillon Block D</t>
  </si>
  <si>
    <t>Cao ốc Central Garden Block A</t>
  </si>
  <si>
    <t>Số 328 Võ Văn Kiệt</t>
  </si>
  <si>
    <t>Cao ốc Central Garden Block B</t>
  </si>
  <si>
    <t>Cao ốc Central Garden Block C</t>
  </si>
  <si>
    <t>Khu phức hợp La CaSa_ Block A</t>
  </si>
  <si>
    <t>89 Hoàng Quốc Việt</t>
  </si>
  <si>
    <t>Khu phức hợp La CaSa_ Block B</t>
  </si>
  <si>
    <t>A8 Tower</t>
  </si>
  <si>
    <t xml:space="preserve">Bảo Long Insurance </t>
  </si>
  <si>
    <t>185 Điện Biên Phủ, Phường Đa Kao</t>
  </si>
  <si>
    <t>BIDV building</t>
  </si>
  <si>
    <t>85 Bùi Thị Xuân, P Phạm Ngũ Lão</t>
  </si>
  <si>
    <t>Blue Shappire Appartment Block A</t>
  </si>
  <si>
    <t>29 Bình Phú, P.10</t>
  </si>
  <si>
    <t>Quận 6</t>
  </si>
  <si>
    <t>Blue Shappire Appartment Block B</t>
  </si>
  <si>
    <t>C2 Building</t>
  </si>
  <si>
    <t>Cư Xá Đình Lợi 301, Đường D1, Phường 25</t>
  </si>
  <si>
    <t>Choy's Building</t>
  </si>
  <si>
    <t>61A Trần Quang Diệu, F13</t>
  </si>
  <si>
    <t>Chung cư 107 Trương Định</t>
  </si>
  <si>
    <t>107 Trương Định</t>
  </si>
  <si>
    <t>Chung cư An Bình block A</t>
  </si>
  <si>
    <t>KCN Bình Đường, Phường An Bình</t>
  </si>
  <si>
    <t>Chung cư An Bình block B</t>
  </si>
  <si>
    <t>Chung cư An Khang Block A</t>
  </si>
  <si>
    <t>28-30 đường 19, khu phố 5, phường An Phú</t>
  </si>
  <si>
    <t>Chung cư An Khang Block B</t>
  </si>
  <si>
    <t>Chung cư An Phú block D1</t>
  </si>
  <si>
    <t>Phường An Phú – Bình Khánh</t>
  </si>
  <si>
    <t>Chung cư An Phú block D2</t>
  </si>
  <si>
    <t>Chung cư An Phú block E1</t>
  </si>
  <si>
    <t>Chung cư An Phú block E2</t>
  </si>
  <si>
    <t>Chung cư An Phú block F1</t>
  </si>
  <si>
    <t>Chung cư An Phú block F2</t>
  </si>
  <si>
    <t>Chung cư An Phú block G1</t>
  </si>
  <si>
    <t>Chung cư An Phú block G2</t>
  </si>
  <si>
    <t>đường Vườn Lan, F10</t>
  </si>
  <si>
    <t>Chung Cư Bộ Đội Biên Phòng TPHCM Block A</t>
  </si>
  <si>
    <t xml:space="preserve">Đường Nguyễn Văn Công ,Phường 3 </t>
  </si>
  <si>
    <t>Chung Cư Bộ Đội Biên Phòng TPHCM Block B</t>
  </si>
  <si>
    <t>Đường Nguyễn Văn Công ,Phường 3</t>
  </si>
  <si>
    <t>Chung cư Mỹ Phát Lô A</t>
  </si>
  <si>
    <t>Lô H29 – 2, đường Nguyễn Đức Cảnh, P. Tân Phong</t>
  </si>
  <si>
    <t>Chung cư Mỹ Phát Lô B</t>
  </si>
  <si>
    <t>Chung cư Mỹ Phát Lô C</t>
  </si>
  <si>
    <t>Chung cư Nguyễn Tri Phương block A</t>
  </si>
  <si>
    <t>7A Đường Thành Thái</t>
  </si>
  <si>
    <t>Chung cư Nguyễn Tri Phương Block B</t>
  </si>
  <si>
    <t>Chung cư Splendor - Block A</t>
  </si>
  <si>
    <t>27 Nguyễn Văn Dung, F6</t>
  </si>
  <si>
    <t>Chung cư Splendor - Block B</t>
  </si>
  <si>
    <t>Chung cư Vĩnh Tường bock A</t>
  </si>
  <si>
    <t>Đường Lộ Tẻ, Khu Dân Cư Bắc Lương Bèo, P. Tân Tạo A</t>
  </si>
  <si>
    <t>Chung cư Vĩnh Tường bock B</t>
  </si>
  <si>
    <t>Chung cư Vĩnh Tường bock C</t>
  </si>
  <si>
    <t>Cienco6</t>
  </si>
  <si>
    <t>127 Đinh Tiên Hoàng</t>
  </si>
  <si>
    <t>Doxaco</t>
  </si>
  <si>
    <t>307/5 Nguyễn Văn Trỗi</t>
  </si>
  <si>
    <t xml:space="preserve">SISC </t>
  </si>
  <si>
    <t>27-29-31 Đường số 9, Trung Sơn</t>
  </si>
  <si>
    <t xml:space="preserve">FPT Tower </t>
  </si>
  <si>
    <t>153 Nguyễn Đình Chiểu</t>
  </si>
  <si>
    <t>123 Bạch Đằng, P.2</t>
  </si>
  <si>
    <t>GoldenBee</t>
  </si>
  <si>
    <t>607-609 Nguyễn Kiệm, P.9</t>
  </si>
  <si>
    <t>Hải Nam Building</t>
  </si>
  <si>
    <t>2bis, Công Trường quốc Tế, P6</t>
  </si>
  <si>
    <t>HSC Building</t>
  </si>
  <si>
    <t xml:space="preserve">162 Điện Biên Phủ, </t>
  </si>
  <si>
    <t>Khải Vận -92 NKKN</t>
  </si>
  <si>
    <t>92 Nam Kỳ Khởi Nghĩa, P.Bến Nghé</t>
  </si>
  <si>
    <t>Kim Ngọc Building</t>
  </si>
  <si>
    <t>2025/ 2A Quốc lộ 1A, Đông Hưng Thuận</t>
  </si>
  <si>
    <t>Quận 12</t>
  </si>
  <si>
    <t>Long Mã Building</t>
  </si>
  <si>
    <t>602 Cộng Hòa, Tân Bình</t>
  </si>
  <si>
    <t>Lotus Garden A</t>
  </si>
  <si>
    <t>36 Trịnh Đình Thảo, P. Hoà Thạnh</t>
  </si>
  <si>
    <t>Lotus Garden B</t>
  </si>
  <si>
    <t>Lotus Garden C</t>
  </si>
  <si>
    <t>37 Trịnh Đình Thảo, P. Hoà Thạnh</t>
  </si>
  <si>
    <t>Lotus Garden D</t>
  </si>
  <si>
    <t>38 Trịnh Đình Thảo, P. Hoà Thạnh</t>
  </si>
  <si>
    <t>Melody 1 tower</t>
  </si>
  <si>
    <t>422-424 Ung Văn Khiêm</t>
  </si>
  <si>
    <t xml:space="preserve">Melody 2 Tower  </t>
  </si>
  <si>
    <t>N1 Điện Biên Phủ</t>
  </si>
  <si>
    <t>Nguyễn Hưng Phú office building</t>
  </si>
  <si>
    <t>400 Nguyen Thi Thap,Phuong Tân Duy</t>
  </si>
  <si>
    <t>614, 616, 618 Nguyễn Công Trứ</t>
  </si>
  <si>
    <t>Phượng Long Building</t>
  </si>
  <si>
    <t>506 Nguyễn Đình Chiểu, P.4</t>
  </si>
  <si>
    <t>PMD Building( Phú Mã Dương) A1</t>
  </si>
  <si>
    <t>Hoàng Văn Thái , phường Tân Phú</t>
  </si>
  <si>
    <t>PMD Building( Phú Mã Dương) A2</t>
  </si>
  <si>
    <t>PMD Building( Phú Mã Dương) A3</t>
  </si>
  <si>
    <t>Cao ốc Sacomreal</t>
  </si>
  <si>
    <t>47 Hòa Bình, Tân Thới</t>
  </si>
  <si>
    <t>Sài Gòn Cửu Long Building</t>
  </si>
  <si>
    <t>649/20/07 Đường Điện Biên Phủ, Phường 25</t>
  </si>
  <si>
    <t>Sài Gòn ICT Tower</t>
  </si>
  <si>
    <t>lô 46 Công viên phần mềm Quang Trung</t>
  </si>
  <si>
    <t xml:space="preserve">Sài Gòn Port </t>
  </si>
  <si>
    <t>số 3 Nguyễn Tất Thành, P.12</t>
  </si>
  <si>
    <t>Số 7 Lý Tự Trọng, P. Bến Nghé</t>
  </si>
  <si>
    <t xml:space="preserve">Southern Cross Sky View Building </t>
  </si>
  <si>
    <t xml:space="preserve">08 Nguyễn Khắc Viện </t>
  </si>
  <si>
    <t>Thiên Hồng</t>
  </si>
  <si>
    <t>13 Cao Thắng</t>
  </si>
  <si>
    <t>Cao ốc Thịnh Vượng</t>
  </si>
  <si>
    <t>531 Nguyễn Duy Trinh</t>
  </si>
  <si>
    <t>Tiến Vinh</t>
  </si>
  <si>
    <t>272-274 Nguyễn Thiện Thuật, F.3</t>
  </si>
  <si>
    <t>TPA Building</t>
  </si>
  <si>
    <t>24 Trường Sơn</t>
  </si>
  <si>
    <t>Trans Viet Tower</t>
  </si>
  <si>
    <t>51 Yên Thế</t>
  </si>
  <si>
    <t>Tuấn Minh 1</t>
  </si>
  <si>
    <t>90-92 Lê Thị Riêng</t>
  </si>
  <si>
    <t>TTTM Atlanta Plaza (Unique)</t>
  </si>
  <si>
    <t>91B Phạm Văn Hai, P.3</t>
  </si>
  <si>
    <t>Chung cư TDH Trường Thọ Block A</t>
  </si>
  <si>
    <t xml:space="preserve">36A Đường Số 4 Khu Phố 5,Phường Trường Thọ </t>
  </si>
  <si>
    <t>Chung cư TDH Trường Thọ Block B</t>
  </si>
  <si>
    <t>Chung cư TDH Trường Thọ Block C</t>
  </si>
  <si>
    <t>Chung cư TDH Trường Thọ Block D</t>
  </si>
  <si>
    <t>Chung cư Z175- Block A</t>
  </si>
  <si>
    <t xml:space="preserve">Số 18 Phan Văn Trị,Phường 10, </t>
  </si>
  <si>
    <t>Chung cư Z175-Block B</t>
  </si>
  <si>
    <t>Carina Plaza Block A1</t>
  </si>
  <si>
    <t>Số 1648 Đường Võ Văn Kiệt</t>
  </si>
  <si>
    <t>Carina Plaza Block A2</t>
  </si>
  <si>
    <t>Carina Plaza Block B1</t>
  </si>
  <si>
    <t>Carina Plaza Block B2</t>
  </si>
  <si>
    <t>Carina Plaza Block C1</t>
  </si>
  <si>
    <t>Carina Plaza Block C2</t>
  </si>
  <si>
    <t>Nguyễn Văn Linh- Phạm Thế Hiển</t>
  </si>
  <si>
    <t>Cao Ốc An Lạc Block A</t>
  </si>
  <si>
    <t>Số 28 Bùi Tư Toàn, Phường An Lạc</t>
  </si>
  <si>
    <t>Cao Ốc An Lạc Block B</t>
  </si>
  <si>
    <t>103 Hồ Ngọc Lãm,Phường An Lạc</t>
  </si>
  <si>
    <t>Chung cư Bà Hom Block A</t>
  </si>
  <si>
    <t>Số 62 Bà Hom</t>
  </si>
  <si>
    <t>Chung cư Bà Hom Block B</t>
  </si>
  <si>
    <t>Cao ốc Nguyễn Kim Block A</t>
  </si>
  <si>
    <t>Nguyễn Kim</t>
  </si>
  <si>
    <t>Cao ốc Nguyễn Kim Block G</t>
  </si>
  <si>
    <t>Khu Dân Cư Điền Phúc Thành,Phước Long B</t>
  </si>
  <si>
    <t>Quận 9</t>
  </si>
  <si>
    <t>Chung cư 41 Bis_Block A</t>
  </si>
  <si>
    <t>649/111 Điện Biên Phủ</t>
  </si>
  <si>
    <t>Bình Thạnh</t>
  </si>
  <si>
    <t>Chung cư 41 Bis_Block B</t>
  </si>
  <si>
    <t>Chung cư 41 Bis_Block C</t>
  </si>
  <si>
    <t>Bình Chánh</t>
  </si>
  <si>
    <t>Chung cư Nhất Lan 2 - Block A</t>
  </si>
  <si>
    <t>Quốc lộ 1 A</t>
  </si>
  <si>
    <t>Tân Bình</t>
  </si>
  <si>
    <t>Chung cư Nhất Lan 2 - Block B</t>
  </si>
  <si>
    <t>Chung cư Nhất Lan 3 - Block A</t>
  </si>
  <si>
    <t>Chung cư Nhất Lan 3 - Block B</t>
  </si>
  <si>
    <t>Chung cư Good House - Block A</t>
  </si>
  <si>
    <t>45 Trương Đình Hội</t>
  </si>
  <si>
    <t>Chung cư Good House - Block B</t>
  </si>
  <si>
    <t>Chung cư Conic Đông Nam Á_Block A</t>
  </si>
  <si>
    <t>Nguyễn Văn Linh</t>
  </si>
  <si>
    <t>Chung cư Conic Đông Nam Á_Block B</t>
  </si>
  <si>
    <t>Chung cư Conic Đông Nam Á_Block C</t>
  </si>
  <si>
    <t>Chung cư Thái Sơn Block A</t>
  </si>
  <si>
    <t>A6/7Q Quốc lộ 1A, P. Tân Tạo A</t>
  </si>
  <si>
    <t>Bình Tân</t>
  </si>
  <si>
    <t>Chung cư Thái Sơn Block B</t>
  </si>
  <si>
    <t>Chung cư Thái Sơn Block C</t>
  </si>
  <si>
    <t>Chung cư Thái Sơn Block D</t>
  </si>
  <si>
    <t>Chung cư HMTC Block A</t>
  </si>
  <si>
    <t>203 Nguyễn Trãi</t>
  </si>
  <si>
    <t>Chung cư HMTC Block B</t>
  </si>
  <si>
    <t>Chung cư 59 Cộng Hòa</t>
  </si>
  <si>
    <t>59 Cộng Hòa</t>
  </si>
  <si>
    <t>15 Hoàng Diệu, P.12</t>
  </si>
  <si>
    <t>Chung cư HUD</t>
  </si>
  <si>
    <t>159 Điện Biên Phủ, P15</t>
  </si>
  <si>
    <t>Chung cư Nguyễn Văn Đậu Block A</t>
  </si>
  <si>
    <t xml:space="preserve">25D Nguyễn Văn Đậu </t>
  </si>
  <si>
    <t>Chung cư Nguyễn Văn Đậu Block B</t>
  </si>
  <si>
    <t>454  Nguyễn Thi Minh Khai</t>
  </si>
  <si>
    <t>Chung cư Lương Định Của</t>
  </si>
  <si>
    <t>280 Lương Định Của, P An Phú</t>
  </si>
  <si>
    <t>TỔNG CỘNG</t>
  </si>
  <si>
    <t>PHÂN LOẠI TÒA NHÀ</t>
  </si>
  <si>
    <t>SỐ FRAME QC</t>
  </si>
  <si>
    <t>TÒA NHÀ  HÀ NỘI</t>
  </si>
  <si>
    <t>34T  (block C)</t>
  </si>
  <si>
    <t>Cầu Giấy</t>
  </si>
  <si>
    <t>34T (block A)</t>
  </si>
  <si>
    <t>34T (block B)</t>
  </si>
  <si>
    <t>165 Xã Đàn</t>
  </si>
  <si>
    <t>Đống Đa</t>
  </si>
  <si>
    <t>117 Trần Duy Hưng</t>
  </si>
  <si>
    <t>36 Hoàng Cầu</t>
  </si>
  <si>
    <t>Hapro Buidling</t>
  </si>
  <si>
    <t xml:space="preserve">11B Cát Linh </t>
  </si>
  <si>
    <t>Số 1, Nguyễn Huy Tưởng</t>
  </si>
  <si>
    <t>Thanh Xuân</t>
  </si>
  <si>
    <t>18 Lý Thường Kiệt</t>
  </si>
  <si>
    <t>Hoàn Kiếm</t>
  </si>
  <si>
    <t>Ladeco Tower</t>
  </si>
  <si>
    <t>266 Đội Cấn</t>
  </si>
  <si>
    <t>Ba Đình</t>
  </si>
  <si>
    <t>229 Tây Sơn</t>
  </si>
  <si>
    <t>234 Tây Sơn</t>
  </si>
  <si>
    <t>Parkson TTTM</t>
  </si>
  <si>
    <t>Số 1 Thái Hà</t>
  </si>
  <si>
    <t>The Garden</t>
  </si>
  <si>
    <t>Mỹ Đình</t>
  </si>
  <si>
    <t>Từ Liêm</t>
  </si>
  <si>
    <t>Tòa nhà 14 Láng Hạ</t>
  </si>
  <si>
    <t>14 Láng Hạ</t>
  </si>
  <si>
    <t>Tòa nhà Bắc Á</t>
  </si>
  <si>
    <t xml:space="preserve"> 9 Đào Duy Anh</t>
  </si>
  <si>
    <t xml:space="preserve">Tổng Công ty XD số 1 </t>
  </si>
  <si>
    <t>Hai Bà Trưng</t>
  </si>
  <si>
    <t>TTC Tower</t>
  </si>
  <si>
    <t>Lô B1, Đường Duy Tân</t>
  </si>
  <si>
    <t>VID Tower 1</t>
  </si>
  <si>
    <t>115 Trần Hưng Đạo</t>
  </si>
  <si>
    <t>Viet Tower</t>
  </si>
  <si>
    <t xml:space="preserve">Vietcombank </t>
  </si>
  <si>
    <t>198 Trần Quang Khải</t>
  </si>
  <si>
    <t>34 Cửa Nam</t>
  </si>
  <si>
    <t>127 Lò Đúc</t>
  </si>
  <si>
    <t>Vincom Gallary (thang trong)</t>
  </si>
  <si>
    <t>191 Bà Triệu</t>
  </si>
  <si>
    <t>Vincom Megastar</t>
  </si>
  <si>
    <t>72A Nguyễn Trãi</t>
  </si>
  <si>
    <t>Vincom Royal City R3_ Block A</t>
  </si>
  <si>
    <t>Vincom Royal City R3_ Block B</t>
  </si>
  <si>
    <t>Vincom Time city T1 Block A</t>
  </si>
  <si>
    <t>Vincom Time city T1 Block B</t>
  </si>
  <si>
    <t>Vincom Time City T2_ Block A</t>
  </si>
  <si>
    <t>458 Minh Khai</t>
  </si>
  <si>
    <t>Vincom Time City T2_ Block B</t>
  </si>
  <si>
    <t>Vincom Time City T3_ Block A</t>
  </si>
  <si>
    <t>Vincom Time City T3_ Block B</t>
  </si>
  <si>
    <t>Vincom Time City T5_ Block A</t>
  </si>
  <si>
    <t>Vincom Time City T5_ Block B</t>
  </si>
  <si>
    <t>Vincom Time City T6_ Block A</t>
  </si>
  <si>
    <t>Vincom Time City T6_ Block B</t>
  </si>
  <si>
    <t>Vincom Time City T7_ Block A</t>
  </si>
  <si>
    <t>Vincom Time City T7_ Block B</t>
  </si>
  <si>
    <t>Vincom Trade Center (191 Bà Triệu)</t>
  </si>
  <si>
    <t>173 Xuân Thủy</t>
  </si>
  <si>
    <t>IPH Residences_East</t>
  </si>
  <si>
    <t>241 Xuân Thủy</t>
  </si>
  <si>
    <t>IPH Residences_West</t>
  </si>
  <si>
    <t>Hòa Bình International Tower</t>
  </si>
  <si>
    <t>106 Hoàng Quốc Việt</t>
  </si>
  <si>
    <t>130 Nguyễn Đức Cảnh - appartment</t>
  </si>
  <si>
    <t>Hoàng Mai</t>
  </si>
  <si>
    <t>130 Nguyễn Đức Cảnh Building office</t>
  </si>
  <si>
    <t>130 Nguyễn Đức Cảnh</t>
  </si>
  <si>
    <t>15T</t>
  </si>
  <si>
    <t>Trung Hoà Nhân Chính</t>
  </si>
  <si>
    <t xml:space="preserve">17T1 </t>
  </si>
  <si>
    <t>17T10</t>
  </si>
  <si>
    <t xml:space="preserve">17T2 </t>
  </si>
  <si>
    <t>17T3</t>
  </si>
  <si>
    <t xml:space="preserve">17T4 </t>
  </si>
  <si>
    <t xml:space="preserve">17T5 </t>
  </si>
  <si>
    <t>17T6</t>
  </si>
  <si>
    <t xml:space="preserve">17T7 </t>
  </si>
  <si>
    <t xml:space="preserve">17T8 </t>
  </si>
  <si>
    <t xml:space="preserve">17T9 </t>
  </si>
  <si>
    <t>187 Nguyễn Lương Bằng</t>
  </si>
  <si>
    <t xml:space="preserve">18T1 </t>
  </si>
  <si>
    <t xml:space="preserve">18T2 </t>
  </si>
  <si>
    <t>24T1</t>
  </si>
  <si>
    <t xml:space="preserve">24T2 </t>
  </si>
  <si>
    <t>Agribank Tây HN</t>
  </si>
  <si>
    <t>A1 Duy Tân – Nguyễn Phong Sắc</t>
  </si>
  <si>
    <t>AMC VP Bank</t>
  </si>
  <si>
    <t>362 Phố Huế</t>
  </si>
  <si>
    <t>Artex Apartment</t>
  </si>
  <si>
    <t>172 Ngọc Khánh</t>
  </si>
  <si>
    <t>Artex Office</t>
  </si>
  <si>
    <t>2 &amp; 1 thang dịch vụ</t>
  </si>
  <si>
    <t>2A, Phạm Sư Mạnh</t>
  </si>
  <si>
    <t>Hoàn Kiêm</t>
  </si>
  <si>
    <t>Bảo Việt</t>
  </si>
  <si>
    <t>35 Hai Bà Trưng</t>
  </si>
  <si>
    <t>Bộ Nội Vụ</t>
  </si>
  <si>
    <t>8 Tôn Thất Thuyết</t>
  </si>
  <si>
    <t>khu đô thị mới Yên Hòa, Trung Kính</t>
  </si>
  <si>
    <t>C'land Corbination</t>
  </si>
  <si>
    <t>Cung Tri Thức HN</t>
  </si>
  <si>
    <t>Lô D25 KĐT mới Cầu Giấy, Trần Thái Tông</t>
  </si>
  <si>
    <t>Đại Phát Building</t>
  </si>
  <si>
    <t>Grand Building</t>
  </si>
  <si>
    <t>Green Park</t>
  </si>
  <si>
    <t>29 Nguyễn Đình Chiểu</t>
  </si>
  <si>
    <t>Hà Đông Complex Block A</t>
  </si>
  <si>
    <t>Số 7, Trần Phú</t>
  </si>
  <si>
    <t>Hà Đông</t>
  </si>
  <si>
    <t>Hà Đông Complex Block B</t>
  </si>
  <si>
    <t xml:space="preserve">Hà Nội Toserco Building </t>
  </si>
  <si>
    <t>273 Kim Mã</t>
  </si>
  <si>
    <t>khu đô thị Trung Văn, Lê Văn Lương</t>
  </si>
  <si>
    <t>Hapulico Complex 17T1</t>
  </si>
  <si>
    <t>Hapulico Complex 17T2</t>
  </si>
  <si>
    <t>Hapulico Complex 21T1</t>
  </si>
  <si>
    <t>Hapulico Complex 21T2</t>
  </si>
  <si>
    <t>Hapulico Complex 24T</t>
  </si>
  <si>
    <t>Hapulico Medical Centre</t>
  </si>
  <si>
    <t>249A Thụy Khuê</t>
  </si>
  <si>
    <t>Tây Hồ</t>
  </si>
  <si>
    <t>HCM CC249A Thụy Khuê 0 Office lắp sảnh B1</t>
  </si>
  <si>
    <t>HH2 Bắc Hà ĐN1</t>
  </si>
  <si>
    <t xml:space="preserve">Lô HH2, Khu Đô Thị Phùng Khoang, đường Lê Văn Lương kéo dài. </t>
  </si>
  <si>
    <t>HH2 Bắc Hà ĐN2</t>
  </si>
  <si>
    <t>Số 1 Thái Bình</t>
  </si>
  <si>
    <t>Lake view Building</t>
  </si>
  <si>
    <t>D10  Giảng Võ</t>
  </si>
  <si>
    <t>Lucky Building</t>
  </si>
  <si>
    <t>66 Trần Thái Tông</t>
  </si>
  <si>
    <t>M3M4</t>
  </si>
  <si>
    <t>91 Nguyễn Chí Thanh</t>
  </si>
  <si>
    <t>93 Nguyễn Chí Thanh</t>
  </si>
  <si>
    <t>Minexport Building</t>
  </si>
  <si>
    <t>28 Bà Triệu (Ngã tư Bà Triệu – Hai Bà Trưng)</t>
  </si>
  <si>
    <t>Mỹ Đình Plaza Block A</t>
  </si>
  <si>
    <t>138 Trần Bình, phường Mỹ Đình</t>
  </si>
  <si>
    <t>Mỹ Đình Plaza Block B</t>
  </si>
  <si>
    <t>Naforimex</t>
  </si>
  <si>
    <t>19 Bà Triệu</t>
  </si>
  <si>
    <t>Pacific builing</t>
  </si>
  <si>
    <t>Số 2, Đại Cồ Việt</t>
  </si>
  <si>
    <t>Phú Gia Residence</t>
  </si>
  <si>
    <t xml:space="preserve">số 3 Nguyễn Huy Tưởng </t>
  </si>
  <si>
    <t>Rainbow Apartment</t>
  </si>
  <si>
    <t>Lô B CQ1 KD9T Văn Quán</t>
  </si>
  <si>
    <t>Rainbow Office</t>
  </si>
  <si>
    <t>Rose Grand Building</t>
  </si>
  <si>
    <t>170 Ngọc Khánh</t>
  </si>
  <si>
    <t>Sky Light CT1</t>
  </si>
  <si>
    <t>Ngõ Hòa Bình 6, Minh Khai , HN</t>
  </si>
  <si>
    <t>Sky Light CT2</t>
  </si>
  <si>
    <t xml:space="preserve">Syrena Tower(Fraser Suite) </t>
  </si>
  <si>
    <t>Techcombank</t>
  </si>
  <si>
    <t>181 Nguyễn Lương Bằng</t>
  </si>
  <si>
    <t>188 Trường Chinh</t>
  </si>
  <si>
    <t xml:space="preserve">Lô D25 đường Tôn Thất Thuyết, Khu Đô Thị Mới Cầu Giấy </t>
  </si>
  <si>
    <t>Tòa nhà JSC34_Block A</t>
  </si>
  <si>
    <t>ngõ 164 Khuất Duy Tiến</t>
  </si>
  <si>
    <t>Tòa nhà JSC34_Block B</t>
  </si>
  <si>
    <t>Tòa nhà Quang Minh (Song Kim)</t>
  </si>
  <si>
    <t>278 Thụy Khuê</t>
  </si>
  <si>
    <t>Tòa nhà SDU-Sông Đà Apartment</t>
  </si>
  <si>
    <t>133 Trần Phú</t>
  </si>
  <si>
    <t>Tòa nhà SDU-Sông Đà Office</t>
  </si>
  <si>
    <t>Tòa nhà Thủy Lợi_ Hà Đông CC</t>
  </si>
  <si>
    <t>28A Lê Trọng Tấn</t>
  </si>
  <si>
    <t>Tòa nhà Thủy Lợi_ Hà Đông VP</t>
  </si>
  <si>
    <t>12 Hoàng Cầu</t>
  </si>
  <si>
    <t xml:space="preserve">Tòa soạn Báo Tiền Phong </t>
  </si>
  <si>
    <t>15A Hồ Xuân Hương</t>
  </si>
  <si>
    <t>Udic</t>
  </si>
  <si>
    <t>27 Huỳnh Thúc Kháng</t>
  </si>
  <si>
    <t>Vân Nam Building Block A</t>
  </si>
  <si>
    <t>26 Đường Láng, Đống Đa, Hà Nội</t>
  </si>
  <si>
    <t>Vân Nam Building Block B</t>
  </si>
  <si>
    <t>27 Đường Láng, Đống Đa, Hà Nội</t>
  </si>
  <si>
    <t>Vân Nam Building Block C</t>
  </si>
  <si>
    <t>28 Đường Láng, Đống Đa, Hà Nội</t>
  </si>
  <si>
    <t>1 Liễu Giai</t>
  </si>
  <si>
    <t>Vapa Building</t>
  </si>
  <si>
    <t>Lô D25, Tôn Thất Thuyết</t>
  </si>
  <si>
    <t>VG Buiding</t>
  </si>
  <si>
    <t>235 Nguyễn Trãi</t>
  </si>
  <si>
    <t>Lô C2, Duy Tân, p. Dịch Vọng Hậu</t>
  </si>
  <si>
    <t>Vietin bank Đội Cấn</t>
  </si>
  <si>
    <t>126 Đội Cấn</t>
  </si>
  <si>
    <t>Viettinbank Hoàn kiếm</t>
  </si>
  <si>
    <t>25 Lý Thường Kiệt</t>
  </si>
  <si>
    <t>Viglacera Complex Building</t>
  </si>
  <si>
    <t>671 Hoàng Hoa Thám</t>
  </si>
  <si>
    <t>VN Direct</t>
  </si>
  <si>
    <t>1 Nguyễn Thượng Hiền</t>
  </si>
  <si>
    <t>VQS Building</t>
  </si>
  <si>
    <t>21 Hàn Thuyên</t>
  </si>
  <si>
    <t>TH Building</t>
  </si>
  <si>
    <t>Viện Hàn Lâm Khoa Học và Công Nghệ Việt Nam</t>
  </si>
  <si>
    <t>18 Hoàng Quốc Việt</t>
  </si>
  <si>
    <t>Nam Cường CT7-Block F</t>
  </si>
  <si>
    <t>Nam Cường CT7-Block G</t>
  </si>
  <si>
    <t>32 Nguyễn Thái Học</t>
  </si>
  <si>
    <t>B70B9 Ngõ 72, Trần Thái Tông</t>
  </si>
  <si>
    <t>Agribank Từ Liêm</t>
  </si>
  <si>
    <t>10 Nguyễn Cơ Thạch, Mỹ ĐÌnh</t>
  </si>
  <si>
    <t>B 10C Nam Trung Yên</t>
  </si>
  <si>
    <t>Khu ĐTM  Nam Trung Yên, phường Yên Hòa</t>
  </si>
  <si>
    <t xml:space="preserve">B&amp;B building </t>
  </si>
  <si>
    <t>Số 60, Ngõ 850, Đường Láng, Láng Hạ</t>
  </si>
  <si>
    <t>Trần Đăng Ninh</t>
  </si>
  <si>
    <t>CC 262 Nguyễn Huy Tưởng  - Block A</t>
  </si>
  <si>
    <t>262 Nguyễn Huy Tưởng</t>
  </si>
  <si>
    <t>CC 262 Nguyễn Huy Tưởng - Block B</t>
  </si>
  <si>
    <t xml:space="preserve">CDS Building </t>
  </si>
  <si>
    <t>61/33 Lạc Trung</t>
  </si>
  <si>
    <t>Chung cư 15T2</t>
  </si>
  <si>
    <t>Chung cư A2 Hạ Đình</t>
  </si>
  <si>
    <t xml:space="preserve">54 Hạ Đình </t>
  </si>
  <si>
    <t>195 Đội Cấn</t>
  </si>
  <si>
    <t>Chung cư Hoàng Sâm</t>
  </si>
  <si>
    <t>151 Hoàng Sâm</t>
  </si>
  <si>
    <t>Chung cư No4B2</t>
  </si>
  <si>
    <t>Dịch Vọng</t>
  </si>
  <si>
    <t xml:space="preserve">Định Công </t>
  </si>
  <si>
    <t>Định Công</t>
  </si>
  <si>
    <t>Bắc Linh Đàm</t>
  </si>
  <si>
    <t xml:space="preserve">CT2A Euro Window </t>
  </si>
  <si>
    <t>Đô thị mới Nghĩa Đô</t>
  </si>
  <si>
    <t>CT3A - ĐN1 Mễ Trì Thượng</t>
  </si>
  <si>
    <t>số 10, Đại Lộ Thăng Long, Mễ Trì Thượng</t>
  </si>
  <si>
    <t>CT3A - ĐN2 Mễ Trì Thượng</t>
  </si>
  <si>
    <t>CT3A - ĐN3 Mễ Trì Thượng</t>
  </si>
  <si>
    <t xml:space="preserve">Đắc Phú Buiding </t>
  </si>
  <si>
    <t xml:space="preserve">559 Kim Mã </t>
  </si>
  <si>
    <t xml:space="preserve">Hacisco </t>
  </si>
  <si>
    <t>107 Nguyễn Chí Thanh</t>
  </si>
  <si>
    <t xml:space="preserve">Hải Hà building </t>
  </si>
  <si>
    <t>45 Triệu Việt Vương</t>
  </si>
  <si>
    <t>Hancis CT1</t>
  </si>
  <si>
    <t>Hancis CT4 _ĐNA</t>
  </si>
  <si>
    <t>Hancis CT4 _ĐNB</t>
  </si>
  <si>
    <t>Hancis CT4 _ĐNC</t>
  </si>
  <si>
    <t>Hancis CT4 _ĐND</t>
  </si>
  <si>
    <t xml:space="preserve">HD Building </t>
  </si>
  <si>
    <t>57 Trần Quốc Toản</t>
  </si>
  <si>
    <t>Hipt Building</t>
  </si>
  <si>
    <t>152 Thụy Khuê</t>
  </si>
  <si>
    <t xml:space="preserve">Irrigation Building </t>
  </si>
  <si>
    <t>Ngõ 95/2, Chùa Bộc</t>
  </si>
  <si>
    <t>KS1 Trung Yên</t>
  </si>
  <si>
    <t>N01 Dịch Vọng</t>
  </si>
  <si>
    <t>Trần Đăng Ninh, Dịch Vọng, Cầu Giấy, HN</t>
  </si>
  <si>
    <t>N05 Dịch Vọng</t>
  </si>
  <si>
    <t>NO10</t>
  </si>
  <si>
    <t>Bán đảo Linh Đàm</t>
  </si>
  <si>
    <t>NO1A</t>
  </si>
  <si>
    <t>NO1B</t>
  </si>
  <si>
    <t>NO3</t>
  </si>
  <si>
    <t>NO4A</t>
  </si>
  <si>
    <t>NO4B</t>
  </si>
  <si>
    <t>NO5</t>
  </si>
  <si>
    <t>NO6A</t>
  </si>
  <si>
    <t>NO6B</t>
  </si>
  <si>
    <t>NO7A</t>
  </si>
  <si>
    <t>NO7B</t>
  </si>
  <si>
    <t>NO8</t>
  </si>
  <si>
    <t>NO9A</t>
  </si>
  <si>
    <t>NO9B</t>
  </si>
  <si>
    <t xml:space="preserve">Philosophy Building </t>
  </si>
  <si>
    <t>59 Láng Hạ</t>
  </si>
  <si>
    <t>81 – 83 Lò Đúc</t>
  </si>
  <si>
    <t>Seaprodex</t>
  </si>
  <si>
    <t>20 Láng Hạ</t>
  </si>
  <si>
    <t>Sico tower</t>
  </si>
  <si>
    <t>Đường Phạm Hùng</t>
  </si>
  <si>
    <t>Smart Building</t>
  </si>
  <si>
    <t>42/27 Đại Cồ Việt</t>
  </si>
  <si>
    <t>Số 10 Hoa Lư</t>
  </si>
  <si>
    <t xml:space="preserve"> Số 10 Hoa Lư</t>
  </si>
  <si>
    <t xml:space="preserve">Spring buiding </t>
  </si>
  <si>
    <t>76 Mai Hắc Đế</t>
  </si>
  <si>
    <t>Talico Building</t>
  </si>
  <si>
    <t>22 Hồ Giám</t>
  </si>
  <si>
    <t xml:space="preserve">Tân Thái Bình Dương </t>
  </si>
  <si>
    <t>73 Lý Nam Đế</t>
  </si>
  <si>
    <t xml:space="preserve">Telcom </t>
  </si>
  <si>
    <t>Lô 18 Định Công</t>
  </si>
  <si>
    <t>130 Đốc Ngữ</t>
  </si>
  <si>
    <t>Toà nhà 133 Thái Hà</t>
  </si>
  <si>
    <t>133 Thái Hà</t>
  </si>
  <si>
    <t>310 Minh Khai</t>
  </si>
  <si>
    <t>Tòa nhà 27 Hàng Bài (Southem Bank)</t>
  </si>
  <si>
    <t>27 Hàng Bài</t>
  </si>
  <si>
    <t>Tòa nhà Bảo Tàng HCM</t>
  </si>
  <si>
    <t>381 Đội Cấn, Liễu Giai</t>
  </si>
  <si>
    <t>1072 Đê La Thành</t>
  </si>
  <si>
    <t>Lô B21 số 72 Trần Thái Tông</t>
  </si>
  <si>
    <t xml:space="preserve">Tòa nhà VIB </t>
  </si>
  <si>
    <t>9 Ngô Thị Nhậm</t>
  </si>
  <si>
    <t>VOV Building</t>
  </si>
  <si>
    <t>41, 43 Bà Triệu</t>
  </si>
  <si>
    <t>VTC</t>
  </si>
  <si>
    <t>CC Hỗn hợp, 46/230 Lạc Trung</t>
  </si>
  <si>
    <t>Vũ Phạm Hàm-G3C</t>
  </si>
  <si>
    <t>Vũ Phạm Hàm</t>
  </si>
  <si>
    <t>Vũ Phạm Hàm-G3D</t>
  </si>
  <si>
    <t xml:space="preserve">CC Lô 3B Trường Chinh </t>
  </si>
  <si>
    <t>Trường Chinh ,HN</t>
  </si>
  <si>
    <t>Chung cư 25 Vũ Ngọc Phan</t>
  </si>
  <si>
    <t>25 Vũ Ngọc Phan</t>
  </si>
  <si>
    <t>Chung cư Đặng Xá _A1D1</t>
  </si>
  <si>
    <t>Đặng Xá, Gia Lâm</t>
  </si>
  <si>
    <t>Long Biên</t>
  </si>
  <si>
    <t>Chung cư Đặng xá _A1D2</t>
  </si>
  <si>
    <t>Chung cư Đặng xá _A1D3</t>
  </si>
  <si>
    <t>Chung cư Đặng xá _A2D1</t>
  </si>
  <si>
    <t>Chung cư Đặng xá _A2D2</t>
  </si>
  <si>
    <t>Chung cư Đặng xá _A2D3</t>
  </si>
  <si>
    <t>Chung cư Đặng xá _A3D1</t>
  </si>
  <si>
    <t>Chung cư Đặng xá _A3D2</t>
  </si>
  <si>
    <t>Chung cư Đặng xá _C1D4</t>
  </si>
  <si>
    <t>Chung cư Đặng xá _C2D4</t>
  </si>
  <si>
    <t>Chung cư Đặng xá _CT1</t>
  </si>
  <si>
    <t>Chung cư Đặng xá _CT2</t>
  </si>
  <si>
    <t>Chung cư Đặng xá _CT3</t>
  </si>
  <si>
    <t>Chung cư Đặng xá _CT4</t>
  </si>
  <si>
    <t>Chung cư Đặng xá _CT5</t>
  </si>
  <si>
    <t>Trung Kính, Yên Hoà</t>
  </si>
  <si>
    <t>Contresxim HH2</t>
  </si>
  <si>
    <t xml:space="preserve">E3 - DN1 Trung Yên </t>
  </si>
  <si>
    <t>Trung Yên</t>
  </si>
  <si>
    <t xml:space="preserve">E3 - DN2 Trung Yên </t>
  </si>
  <si>
    <t>Mỹ Đình I</t>
  </si>
  <si>
    <t>Sông Đà Nhân Chính</t>
  </si>
  <si>
    <t>Sudico CT1_ T1</t>
  </si>
  <si>
    <t>Sudico CT1_T2</t>
  </si>
  <si>
    <t>Sudico CT1_T3</t>
  </si>
  <si>
    <t>Sudico CT1_T4</t>
  </si>
  <si>
    <t>Sudico CT1_T5</t>
  </si>
  <si>
    <t>Sudico CT1_T6</t>
  </si>
  <si>
    <t>Sudico CT1_T7</t>
  </si>
  <si>
    <t>Sudico CT6_D1</t>
  </si>
  <si>
    <t>Sudico CT6_D2</t>
  </si>
  <si>
    <t>Sudico CT6_D3</t>
  </si>
  <si>
    <t>Sudico CT6_D4</t>
  </si>
  <si>
    <t>Sudico CT9_D1</t>
  </si>
  <si>
    <t>Sudico CT9_D2</t>
  </si>
  <si>
    <t>Sudico CT9_D3</t>
  </si>
  <si>
    <t xml:space="preserve">Sudico CT9_D4 </t>
  </si>
  <si>
    <t>Toà nhà Việt Long (Macino)</t>
  </si>
  <si>
    <t>Nguyễn Phong Sắc</t>
  </si>
  <si>
    <t>Sofitech Park Tower</t>
  </si>
  <si>
    <t>02 Quang Trung</t>
  </si>
  <si>
    <t>Hải Châu</t>
  </si>
  <si>
    <t>TT Tài Chính Dầu Khí Đà Nẵng</t>
  </si>
  <si>
    <t>Lô A2.1 300 Đường 30/4</t>
  </si>
  <si>
    <t>Toà nhà Vietcombank Đà Nẵng</t>
  </si>
  <si>
    <t>140 – 142 Lê Lợi</t>
  </si>
  <si>
    <t>Sofware Part Tower</t>
  </si>
  <si>
    <t xml:space="preserve">15 Quang Trung </t>
  </si>
  <si>
    <t>Chiere</t>
  </si>
  <si>
    <t>155 Trần Phú</t>
  </si>
  <si>
    <t>Thanh Khê</t>
  </si>
  <si>
    <t>Trung Tâm Điều Hành Du lịch Miền Trung</t>
  </si>
  <si>
    <t>10 Hải Phòng</t>
  </si>
  <si>
    <t>Tòa nhà Điều hành lưới điện Miền Trung</t>
  </si>
  <si>
    <t>81-89 Nguyễn Hữu Thọ</t>
  </si>
  <si>
    <t>LOẠI 3</t>
  </si>
  <si>
    <t>Toà nhà Sunrise</t>
  </si>
  <si>
    <t>Số 25 đường 2 – 9,</t>
  </si>
  <si>
    <t>Chung cư Phú Mỹ Thuận- Block A</t>
  </si>
  <si>
    <t>Chung cư Phú Mỹ Thuận- Block D</t>
  </si>
  <si>
    <t>Chung cư Phú Mỹ Thuận- Block B</t>
  </si>
  <si>
    <t>Chung cư Phú Mỹ Thuận- Block C</t>
  </si>
  <si>
    <t>Nhà Bè</t>
  </si>
  <si>
    <t>Huỳnh Tấn Phát</t>
  </si>
  <si>
    <t>Nam Cường CT8-Block A</t>
  </si>
  <si>
    <t>Nam Cường CT8-Block B</t>
  </si>
  <si>
    <t>Nam Cường CT8-Block C</t>
  </si>
  <si>
    <t>Nam Cường CT8-Block D</t>
  </si>
  <si>
    <t>Nam Cường CT7-Block A</t>
  </si>
  <si>
    <t>Nam Cường CT7-Block B</t>
  </si>
  <si>
    <t>Nam Cường CT7-Block C</t>
  </si>
  <si>
    <t>Nam Cường CT7-Block D</t>
  </si>
  <si>
    <t>Nam Cường HH2-Block D</t>
  </si>
  <si>
    <t>Nam Cường HH2-Block E</t>
  </si>
  <si>
    <t>Vietbank Building</t>
  </si>
  <si>
    <t xml:space="preserve">72-74 Bà Triệu </t>
  </si>
  <si>
    <t>Chung cư Conic Garden Block A</t>
  </si>
  <si>
    <t>Chung cư Conic Garden Block B</t>
  </si>
  <si>
    <t>Golden Lotus (Cao ốc Đại Dũng)</t>
  </si>
  <si>
    <t>SV Tech Building</t>
  </si>
  <si>
    <t>2A Phan Thúc Duyên</t>
  </si>
  <si>
    <t>Nam Cường CT7-Block E</t>
  </si>
  <si>
    <t>Bắc Từ Liêm</t>
  </si>
  <si>
    <t>Chung cư Hà Đô_CT1</t>
  </si>
  <si>
    <t>Chung cư Hà Đô_CT2</t>
  </si>
  <si>
    <t>Chung cư Hà Đô_CT3</t>
  </si>
  <si>
    <t>Chung cư Hà Đô_CT4</t>
  </si>
  <si>
    <t>Chung cư Hà Đô_CT5</t>
  </si>
  <si>
    <t>Đường Nguyễn Văn Công</t>
  </si>
  <si>
    <t>Gilimex Building</t>
  </si>
  <si>
    <t>Chung cư Phố Đông Block A</t>
  </si>
  <si>
    <t>Sudico CT5_T1 (Mỹ Đình, Từ Liêm, HN)</t>
  </si>
  <si>
    <t>Sudico CT5_T2 (Mỹ Đình, Từ Liêm, HN)</t>
  </si>
  <si>
    <t>Sudico CT5_T3 (Mỹ Đình, Từ Liêm, HN)</t>
  </si>
  <si>
    <t>Sudico CT5_T4 (Mỹ Đình, Từ Liêm, HN)</t>
  </si>
  <si>
    <t>Sudico CT5_T5 (Mỹ Đình, Từ Liêm, HN)</t>
  </si>
  <si>
    <t>Sudico CT5_T6 (Mỹ Đình, Từ Liêm, HN)</t>
  </si>
  <si>
    <t>Sudico CT5_T7 (Mỹ Đình, Từ Liêm, HN)</t>
  </si>
  <si>
    <t>Sudico CT5_T8 (Mỹ Đình, Từ Liêm, HN)</t>
  </si>
  <si>
    <t>Sudico CT5_T9 (Mỹ Đình, Từ Liêm, HN)</t>
  </si>
  <si>
    <t>Sudico CT5_T10 (Mỹ Đình, Từ Liêm, HN)</t>
  </si>
  <si>
    <t>Sudico CT5_T11 (Mỹ Đình, Từ Liêm, HN)</t>
  </si>
  <si>
    <t>Sudico CT5_T12 (Mỹ Đình, Từ Liêm, HN)</t>
  </si>
  <si>
    <t>Sudico CT4_T1  (Mỹ Đình, Từ Liêm, HN)</t>
  </si>
  <si>
    <t>Sudico CT4_T2 (Mỹ Đình, Từ Liêm, HN)</t>
  </si>
  <si>
    <t>Sudico CT4_T3 (Mỹ Đình, Từ Liêm, HN)</t>
  </si>
  <si>
    <t>Sudico CT4_T4 (Mỹ Đình, Từ Liêm, HN)</t>
  </si>
  <si>
    <t>Sudico CT4_T5 (Mỹ Đình, Từ Liêm, HN)</t>
  </si>
  <si>
    <t>Sudico CT4_T6 (Mỹ Đình, Từ Liêm, HN)</t>
  </si>
  <si>
    <t>Sudico CT4_T7 (Mỹ Đình, Từ Liêm, HN)</t>
  </si>
  <si>
    <t>Sudico CT4_T8 (Mỹ Đình, Từ Liêm, HN)</t>
  </si>
  <si>
    <t>Sudico CT4_T9 (Mỹ Đình, Từ Liêm, HN)</t>
  </si>
  <si>
    <t>Sudico CT4_T10 (Mỹ Đình, Từ Liêm, HN)</t>
  </si>
  <si>
    <t>Sudico CT4_T11 (Mỹ Đình, Từ Liêm, HN)</t>
  </si>
  <si>
    <t>Sudico CT4_T12 (Mỹ Đình, Từ Liêm, HN)</t>
  </si>
  <si>
    <t>DF</t>
  </si>
  <si>
    <t>SL</t>
  </si>
  <si>
    <t xml:space="preserve"> 187 Apartment Nguyễn Lương Bằng</t>
  </si>
  <si>
    <t xml:space="preserve"> Hancis CT3_ĐN1 - Trung Văn</t>
  </si>
  <si>
    <t xml:space="preserve"> Hancis CT3_ĐN2 - Trung Văn</t>
  </si>
  <si>
    <t xml:space="preserve">  Hancis CT3_ĐN3 - Trung Văn</t>
  </si>
  <si>
    <t>KS Perfect</t>
  </si>
  <si>
    <t xml:space="preserve"> Bộ kế hoạch và Đầu tư</t>
  </si>
  <si>
    <t>VP Viện Hàn Lâm Khoa Học Xã Hội Việt Nam</t>
  </si>
  <si>
    <t>Tòa nhà 32 Nguyến Thái Học</t>
  </si>
  <si>
    <t xml:space="preserve">Chung Cư 195  Đội Cấn </t>
  </si>
  <si>
    <t>Mỹ Đình II - CT1A - ĐN1</t>
  </si>
  <si>
    <t>Mỹ Đình II Từ Liêm</t>
  </si>
  <si>
    <t>Mỹ Đình II - CT1A - ĐN2</t>
  </si>
  <si>
    <t xml:space="preserve">Định Công CT2 - DN1 </t>
  </si>
  <si>
    <t>Định Công CT2 - DN2</t>
  </si>
  <si>
    <t xml:space="preserve">Bắc Linh Đàm CT2 </t>
  </si>
  <si>
    <t xml:space="preserve">Mỹ Đình II CT2A </t>
  </si>
  <si>
    <t>Mỹ Đình II CT2B</t>
  </si>
  <si>
    <t>Bắc Linh Đàm CT3A - Khu X2</t>
  </si>
  <si>
    <t xml:space="preserve"> Mỹ Đình II CT3A</t>
  </si>
  <si>
    <t>Bắc Linh Đàm CT3B - Khu X2</t>
  </si>
  <si>
    <t>CT3B Cụm thang A Mễ Trì Thượng</t>
  </si>
  <si>
    <t>CT3B Cụm thang B Mễ Trì Thượng</t>
  </si>
  <si>
    <t xml:space="preserve"> Mỹ Đình II CT3B</t>
  </si>
  <si>
    <t>Bắc Linh Đàm CT3C - Khu X2</t>
  </si>
  <si>
    <t xml:space="preserve"> Mỹ Đình II CT4</t>
  </si>
  <si>
    <t>Bắc Linh Đàm CT4A- Khu X2</t>
  </si>
  <si>
    <t>Bắc Linh Đàm CT4B - Khu X2</t>
  </si>
  <si>
    <t xml:space="preserve">Bắc Linh Đàm CT4B </t>
  </si>
  <si>
    <t>Bắc Linh Đàm CT4C - Khu X2</t>
  </si>
  <si>
    <t xml:space="preserve"> Mỹ Đình II CT5 - ĐN1</t>
  </si>
  <si>
    <t xml:space="preserve"> Mỹ Đình II CT5 - ĐN2</t>
  </si>
  <si>
    <t xml:space="preserve"> Mỹ Đình II CT5 - ĐN3</t>
  </si>
  <si>
    <t xml:space="preserve"> Mỹ Đình II CT5 - ĐN4</t>
  </si>
  <si>
    <t xml:space="preserve"> Định Công  CT5-DN1</t>
  </si>
  <si>
    <t xml:space="preserve"> Định Công  CT5-DN2</t>
  </si>
  <si>
    <t xml:space="preserve"> Định Công  CT6-DN1</t>
  </si>
  <si>
    <t xml:space="preserve"> Định Công  CT6-DN2</t>
  </si>
  <si>
    <t>Bắc Linh Đàm OCT1-ĐN1, Khu X1</t>
  </si>
  <si>
    <t>Bắc Linh Đàm OCT2-ĐN1, Khu X1</t>
  </si>
  <si>
    <t>Bắc Linh Đàm OCT2-ĐN2, Khu X1</t>
  </si>
  <si>
    <t>Bắc Linh Đàm OCT2-ĐN3, Khu X1</t>
  </si>
  <si>
    <t>Sông Đà 9 - Mỹ Đình</t>
  </si>
  <si>
    <t>Chung cư 15 T1</t>
  </si>
  <si>
    <t xml:space="preserve"> Biển Bắc</t>
  </si>
  <si>
    <t>Đông Dương</t>
  </si>
  <si>
    <t xml:space="preserve"> Văn phòng Kailash </t>
  </si>
  <si>
    <t>Viettinbank building</t>
  </si>
  <si>
    <t xml:space="preserve">Contresxim CT4 - 5 </t>
  </si>
  <si>
    <t xml:space="preserve">Chung cư An Lạc  Nhà A </t>
  </si>
  <si>
    <t>Chung cư An Lạc  Nhà B</t>
  </si>
  <si>
    <t xml:space="preserve"> Mỹ Đình I -  Nhà B1</t>
  </si>
  <si>
    <t xml:space="preserve"> Mỹ Đình I -  Nhà B2</t>
  </si>
  <si>
    <t xml:space="preserve"> Mỹ Đình I -  Nhà B3</t>
  </si>
  <si>
    <t xml:space="preserve"> Mỹ Đình I -  Nhà B4</t>
  </si>
  <si>
    <t xml:space="preserve"> Mỹ Đình I -  Nhà B5</t>
  </si>
  <si>
    <t xml:space="preserve"> Mỹ Đình I -  Nhà B6</t>
  </si>
  <si>
    <t xml:space="preserve"> Mỹ Đình I -  Nhà C1</t>
  </si>
  <si>
    <t xml:space="preserve"> Mỹ Đình I -  Nhà C2</t>
  </si>
  <si>
    <t xml:space="preserve"> Mỹ Đình I -  Nhà C3</t>
  </si>
  <si>
    <t xml:space="preserve"> Mỹ Đình I -  Nhà C4</t>
  </si>
  <si>
    <t xml:space="preserve"> Mỹ Đình I -  Nhà C5</t>
  </si>
  <si>
    <t xml:space="preserve"> Mỹ Đình I -  Nhà C6A</t>
  </si>
  <si>
    <t xml:space="preserve"> Mỹ Đình I -  Nhà C6B</t>
  </si>
  <si>
    <t xml:space="preserve"> Mỹ Đình I -  Nhà C7</t>
  </si>
  <si>
    <t>Nhân Chính</t>
  </si>
  <si>
    <t>Sudico CT1 - D1</t>
  </si>
  <si>
    <t>Vinaconex  Nhà B</t>
  </si>
  <si>
    <t>Vinaconex  Nhà D</t>
  </si>
  <si>
    <t>Chung cư Phố Đông Block B</t>
  </si>
  <si>
    <t xml:space="preserve">  Etunnel </t>
  </si>
  <si>
    <t>L11-L12 Chung cư Miếu Nổi</t>
  </si>
  <si>
    <t>Sky building</t>
  </si>
  <si>
    <t xml:space="preserve">   41 Nguyễn Phi Khanh</t>
  </si>
  <si>
    <t>P Bình Trưng Đông</t>
  </si>
  <si>
    <t>Chung cư Thủ Thiêm Xanh Bock A</t>
  </si>
  <si>
    <t>Chung cư Thủ Thiêm Xanh Bock B</t>
  </si>
  <si>
    <t>Chung cư Thủ Thiêm Xanh Star Block A</t>
  </si>
  <si>
    <t>Chung cư Thủ Thiêm Xanh Star Block B</t>
  </si>
  <si>
    <t>Chung cư Thủ Thiêm Xanh Star Block C</t>
  </si>
  <si>
    <t>Thành phố Hạ Long</t>
  </si>
  <si>
    <t xml:space="preserve">Vincom Mega Mall Hạ Long </t>
  </si>
  <si>
    <t>Khu đô thị Ecopark,Văn Giang</t>
  </si>
  <si>
    <t>Hưng Yên</t>
  </si>
  <si>
    <t>Tạp chí Cộng Sản</t>
  </si>
  <si>
    <t>28 Trần Bình Trọng</t>
  </si>
  <si>
    <t>Ecopark E1</t>
  </si>
  <si>
    <t>Ecopark E2</t>
  </si>
  <si>
    <t>KĐT Nam Long, P Phước Long B</t>
  </si>
  <si>
    <t>Chung cư Ehom 2 - Block C</t>
  </si>
  <si>
    <t>Chung cư Ehom 2 - Block D</t>
  </si>
  <si>
    <t>Chung cư Ehom 2 - Block E</t>
  </si>
  <si>
    <t>Hoa Đăng</t>
  </si>
  <si>
    <t>290 Nguyễn Trãi,</t>
  </si>
  <si>
    <t>Vĩnh Long</t>
  </si>
  <si>
    <t>338 Phố Huế</t>
  </si>
  <si>
    <t>Ecopark D2</t>
  </si>
  <si>
    <t>Ecopark D1</t>
  </si>
  <si>
    <t>Chung cư Đặng xá _CT6 DNA</t>
  </si>
  <si>
    <t>Chung cư Đặng xá _CT6 DNB</t>
  </si>
  <si>
    <t>Chung cư Đặng xá _D5 DNA</t>
  </si>
  <si>
    <t>Chung cư Đặng xá _D5 DNB</t>
  </si>
  <si>
    <t>Chung cư Đặng xá _D6 DNA</t>
  </si>
  <si>
    <t>Chung cư Đặng xá _D6 DNB</t>
  </si>
  <si>
    <t>Chung cư Đặng xá _D7 DNA</t>
  </si>
  <si>
    <t>Chung cư Đặng xá _D7 DNB</t>
  </si>
  <si>
    <t>Chung cư Đặng xá _D8 DNA</t>
  </si>
  <si>
    <t>Chung cư Đặng xá _D8 DNB</t>
  </si>
  <si>
    <t>Chung cư Đặng xá _D9 DNA</t>
  </si>
  <si>
    <t>Chung cư Đặng xá _D9 DNB</t>
  </si>
  <si>
    <t>Bắc Linh Đàm CT5 - Khu X2</t>
  </si>
  <si>
    <t>CT14A1</t>
  </si>
  <si>
    <t>Khu đô thị Nam Thăng Long</t>
  </si>
  <si>
    <t xml:space="preserve">Method of traffic calculation: </t>
  </si>
  <si>
    <t xml:space="preserve">1. DP in lift = working people in whole building x 6.6 times of taking lift in HN* </t>
  </si>
  <si>
    <t xml:space="preserve">2. DP at lift bank in Ground floor or Basement = working people in whole building x 6.6 times of taking lift in HN </t>
  </si>
  <si>
    <t xml:space="preserve">3. DP at lift bank in other floors = working people in these floors x 6.6 times of taking lift in HN </t>
  </si>
  <si>
    <t xml:space="preserve">4. DP in complex building = working people x 6.6 times of taking lift in HN + Shoppers x 2 times </t>
  </si>
  <si>
    <t xml:space="preserve">Note: "*" Working people in whole buiding = total sqm/5 (5 sqm for 1 working person) "**"according to AC Neilsen research Q1. 2010 </t>
  </si>
  <si>
    <t xml:space="preserve">C: complex building: including shopping mall &amp; office </t>
  </si>
  <si>
    <t>51 Xuân Dịêu, Tây Hồ</t>
  </si>
  <si>
    <t>Bắc Linh Đàm CT3</t>
  </si>
  <si>
    <t>Bắc Linh Đàm CT4A1</t>
  </si>
  <si>
    <t>Bắc Linh Đàm CT4A2</t>
  </si>
  <si>
    <t>TỔNG FRAME</t>
  </si>
  <si>
    <t xml:space="preserve">TỔNG FRAME </t>
  </si>
  <si>
    <t>Charmvit Tower Bock B</t>
  </si>
  <si>
    <t>Charmvit Tower Bock C</t>
  </si>
  <si>
    <t>30-32 Hòa Mã</t>
  </si>
  <si>
    <t>Việt Hàn Building</t>
  </si>
  <si>
    <t>Việt Hải Building (lắp ngoài sảnh hầm B1)</t>
  </si>
  <si>
    <t>C'Land _Office</t>
  </si>
  <si>
    <t xml:space="preserve">Hanoi  Tourist Building </t>
  </si>
  <si>
    <t>Artexport House Building</t>
  </si>
  <si>
    <t xml:space="preserve"> số 1 Đỗ Hành</t>
  </si>
  <si>
    <t>A_D Buidling</t>
  </si>
  <si>
    <t>Tòa nhà 130 Đốc Ngữ_ DN1</t>
  </si>
  <si>
    <t>Tòa nhà 130 Đốc Ngữ_ DN2</t>
  </si>
  <si>
    <t>131 Đốc Ngữ</t>
  </si>
  <si>
    <t>Ecopark C1</t>
  </si>
  <si>
    <t>Ecopark C2</t>
  </si>
  <si>
    <t>Ecopark C3</t>
  </si>
  <si>
    <t>59Quang Trung, P. Nguyễn Du</t>
  </si>
  <si>
    <t>458Minh Khai</t>
  </si>
  <si>
    <t>The Useful Apartment Block A</t>
  </si>
  <si>
    <t>654 Lạc Long Quân</t>
  </si>
  <si>
    <t>The Useful Apartment Block B</t>
  </si>
  <si>
    <t>Chelsea Park E1(bắc)</t>
  </si>
  <si>
    <t>Chelsea Park E2(nam)</t>
  </si>
  <si>
    <t>TÒA NHÀ</t>
  </si>
  <si>
    <t>Cantavil Premier Building block A</t>
  </si>
  <si>
    <t>Khu Đô Thị Mới An Phú, P. An Phú</t>
  </si>
  <si>
    <t>Cantavil Premier Building block B</t>
  </si>
  <si>
    <t>số 10 ngõ 52 Phạm Hùng</t>
  </si>
  <si>
    <t xml:space="preserve"> ngõ 82 Phố Duy Tân,</t>
  </si>
  <si>
    <t>Trần Trọng Cung</t>
  </si>
  <si>
    <t>103 Hồ Ngọc Lãm, Phường An Lạc</t>
  </si>
  <si>
    <t xml:space="preserve">CTM Complex </t>
  </si>
  <si>
    <t>139 Cầu  Giấy</t>
  </si>
  <si>
    <t>Chung cư CTM Complex</t>
  </si>
  <si>
    <t>DB Court</t>
  </si>
  <si>
    <t>218 Điện Biên Phủ</t>
  </si>
  <si>
    <t xml:space="preserve">Hapulico Office Building Block A </t>
  </si>
  <si>
    <t>Hapulico Office Building Block B</t>
  </si>
  <si>
    <t>Phường Phú Mỹ</t>
  </si>
  <si>
    <t>Era Town A Block A2-1</t>
  </si>
  <si>
    <t>Era Town A Block A2-2</t>
  </si>
  <si>
    <t>Era Town A Block A3-1</t>
  </si>
  <si>
    <t>Era Town A Block A3-2</t>
  </si>
  <si>
    <t>Era Town A Block A4-1</t>
  </si>
  <si>
    <t>Era Town A Block A4-2</t>
  </si>
  <si>
    <t>Era Town A Block A5-1</t>
  </si>
  <si>
    <t>Era Town A Block A5-2</t>
  </si>
  <si>
    <t xml:space="preserve">Capital Building </t>
  </si>
  <si>
    <t>72 Trần Hưng Đạo</t>
  </si>
  <si>
    <t>92 Nguyễn Hữu Cảnh</t>
  </si>
  <si>
    <t>Saigon Pearl Topaz 1A</t>
  </si>
  <si>
    <t>Saigon Pearl Topaz 2A</t>
  </si>
  <si>
    <t>Saigon Pearl Topaz 1B</t>
  </si>
  <si>
    <t>Saigon Pearl Topaz 2B</t>
  </si>
  <si>
    <t>Vincom Royal City R6- Block A</t>
  </si>
  <si>
    <t>Vincom Royal City R6- Block B</t>
  </si>
  <si>
    <t xml:space="preserve">Cao ốc Hưng Phát  Block A </t>
  </si>
  <si>
    <t xml:space="preserve">Cao ốc Hưng Phát  Block B </t>
  </si>
  <si>
    <t>Cao ốc Hưng Phát  Block C</t>
  </si>
  <si>
    <t>Cao ốc Hưng Phát  Block D</t>
  </si>
  <si>
    <t>Số 928 Nguyễn Văn Lương</t>
  </si>
  <si>
    <t>Chung cư Logico 19</t>
  </si>
  <si>
    <t>25 Tân Mai</t>
  </si>
  <si>
    <t>6SF</t>
  </si>
  <si>
    <t>3SF</t>
  </si>
  <si>
    <t>4SF</t>
  </si>
  <si>
    <t>2SF</t>
  </si>
  <si>
    <t>CC Khang Gia - Tân Hương - Block A</t>
  </si>
  <si>
    <t>CC Khang Gia - Tân Hương - Block B</t>
  </si>
  <si>
    <t>337 Tân Hương, Phường Tân Quý</t>
  </si>
  <si>
    <t>1SF</t>
  </si>
  <si>
    <t>8SF</t>
  </si>
  <si>
    <t>9SF</t>
  </si>
  <si>
    <t>Rainbow Bắc  Linh Đàm khu X2</t>
  </si>
  <si>
    <t>Khu đô thị Bắc Linh Đàm</t>
  </si>
  <si>
    <t>Ecopark B1</t>
  </si>
  <si>
    <t>Ecopark B2</t>
  </si>
  <si>
    <t>CC PERIDOT</t>
  </si>
  <si>
    <t>226/51 An Dương Vương, Phường 16</t>
  </si>
  <si>
    <t>Botanic Tower Block A</t>
  </si>
  <si>
    <t>số 2 Lê Văn Lương</t>
  </si>
  <si>
    <t>Star City Block B</t>
  </si>
  <si>
    <t>Star City Block C</t>
  </si>
  <si>
    <t>Star City Block A</t>
  </si>
  <si>
    <t>1DF, 2SF</t>
  </si>
  <si>
    <t xml:space="preserve">Quận 1 </t>
  </si>
  <si>
    <t>173Xuân Thủy</t>
  </si>
  <si>
    <t>Celadon City A Block A1</t>
  </si>
  <si>
    <t>88 Bờ Bao Tân Thắng</t>
  </si>
  <si>
    <t>Celadon City A Block A2</t>
  </si>
  <si>
    <t>Celadon City A Block A3</t>
  </si>
  <si>
    <t>Danafood</t>
  </si>
  <si>
    <t xml:space="preserve">35 Cao Thắng </t>
  </si>
  <si>
    <t>Vietfracht building</t>
  </si>
  <si>
    <t>73 Lò Đúc</t>
  </si>
  <si>
    <t>Chung cư 17T1</t>
  </si>
  <si>
    <t xml:space="preserve">Nam Từ Liêm </t>
  </si>
  <si>
    <t>Chung cư 17T2</t>
  </si>
  <si>
    <t>KDT Trung Văn, Lê Văn Lương</t>
  </si>
  <si>
    <t>Ecopark A1</t>
  </si>
  <si>
    <t>Ecopark A2</t>
  </si>
  <si>
    <t>Ecopark A3</t>
  </si>
  <si>
    <t>Xuân Thủy Landmark  Apartment A</t>
  </si>
  <si>
    <t>Xuân Thủy Landmark  Apartment B</t>
  </si>
  <si>
    <t>Xuân Thủy Landmark Office  A</t>
  </si>
  <si>
    <t>Xuân Thủy Landmark Office  B</t>
  </si>
  <si>
    <t>TT Thuốc</t>
  </si>
  <si>
    <t xml:space="preserve"> Mipec Lotte Mark Block A</t>
  </si>
  <si>
    <t xml:space="preserve"> Mipec Lotte Mark Block B</t>
  </si>
  <si>
    <t>299 Tây Sơn</t>
  </si>
  <si>
    <t>SDC building</t>
  </si>
  <si>
    <t xml:space="preserve">Bộ công thương </t>
  </si>
  <si>
    <t>655 Phạm Văn Đồng, Bắc Từ Liêm</t>
  </si>
  <si>
    <t>462 Vĩnh Phúc</t>
  </si>
  <si>
    <t>Chung cư Newtaco Block A</t>
  </si>
  <si>
    <t>Chung cư Newtaco Block B</t>
  </si>
  <si>
    <t xml:space="preserve">Newtaco Building </t>
  </si>
  <si>
    <t>21 Láng Hạ</t>
  </si>
  <si>
    <t>Trung Hoà Nhân Chính (Tầng 24-34)</t>
  </si>
  <si>
    <t>Trung Hoà Nhân Chính (Tầng 10-12)</t>
  </si>
  <si>
    <t>Trung Hoà Nhân Chính (Tầng 12-24)</t>
  </si>
  <si>
    <t>Mỹ Đình - Đường Phạm Hùng</t>
  </si>
  <si>
    <t xml:space="preserve">109 Nguyễn Biểu </t>
  </si>
  <si>
    <t>CC Nguyễn Biểu  Block A</t>
  </si>
  <si>
    <t>CC Nguyễn Biểu  Block B</t>
  </si>
  <si>
    <t>CC Nguyễn Biểu  Block C</t>
  </si>
  <si>
    <t>Nam Hải Lake View</t>
  </si>
  <si>
    <t>Lô 01-9A-Khu Đô Thị Vĩnh Hoàng</t>
  </si>
  <si>
    <t>Viện Sinh Thái Block A</t>
  </si>
  <si>
    <t>Viện Sinh Thái Block B</t>
  </si>
  <si>
    <t>Viên Địa Lý Tòa nhà A27</t>
  </si>
  <si>
    <t>Viên Vật Lý Tòa nhà 2H</t>
  </si>
  <si>
    <t xml:space="preserve">Botanic Tower Block B </t>
  </si>
  <si>
    <t>Chung cư  Ehome 3 Block A2</t>
  </si>
  <si>
    <t>Chung cư  Ehome 3 Block A1</t>
  </si>
  <si>
    <t>NCT  Building</t>
  </si>
  <si>
    <t xml:space="preserve">Tòa nhà SPT </t>
  </si>
  <si>
    <t>179 Trần Hưng Đạo</t>
  </si>
  <si>
    <t>Sơn Trà</t>
  </si>
  <si>
    <t>MD Completex Tower Block B</t>
  </si>
  <si>
    <t>Khu Đô thị Mỹ Đình I</t>
  </si>
  <si>
    <t>Nam Từ Liêm</t>
  </si>
  <si>
    <t>V1</t>
  </si>
  <si>
    <t>Khu Đô Thị Đặng Xá</t>
  </si>
  <si>
    <t>Gia Lâm</t>
  </si>
  <si>
    <t>V2</t>
  </si>
  <si>
    <t>V3</t>
  </si>
  <si>
    <t>D10</t>
  </si>
  <si>
    <t>D11</t>
  </si>
  <si>
    <t>D12</t>
  </si>
  <si>
    <t>D13</t>
  </si>
  <si>
    <t>D14</t>
  </si>
  <si>
    <t>D17</t>
  </si>
  <si>
    <t>D18</t>
  </si>
  <si>
    <t>D19</t>
  </si>
  <si>
    <t xml:space="preserve">55 Dương Quốc Trung </t>
  </si>
  <si>
    <t>Lotus Apartment</t>
  </si>
  <si>
    <t>85/89 Phạm Viết Chánh</t>
  </si>
  <si>
    <t>Hòa Bình Somerset</t>
  </si>
  <si>
    <t>Báo Tài Nguyên và Mội Trường</t>
  </si>
  <si>
    <t>Lô E2 Đường Dương Đình Nghệ, Yên Hòa</t>
  </si>
  <si>
    <t>VMT Building</t>
  </si>
  <si>
    <t>Ngõ 82, Duy Tân</t>
  </si>
  <si>
    <t>Chung cư VOV CT2_DNB</t>
  </si>
  <si>
    <t>Chung cư VOV  CT2_DNA</t>
  </si>
  <si>
    <t>Chung cư VOV CT2_C1</t>
  </si>
  <si>
    <t>Chung cư VOV CT2_C2</t>
  </si>
  <si>
    <t>Chung cư VOV CT2_D1</t>
  </si>
  <si>
    <t>Chung cư VOV CT2_D2</t>
  </si>
  <si>
    <t xml:space="preserve">Lương Thế Vinh kéo dài, Mễ trì </t>
  </si>
  <si>
    <t>ONE OPERA Đà Nẵng</t>
  </si>
  <si>
    <t>115 Nguyễn Văn Linh</t>
  </si>
  <si>
    <t>Vincom Đà Nẵng</t>
  </si>
  <si>
    <t>Đường Ngô Quyền</t>
  </si>
  <si>
    <t>Chung cư Ehome 3- Block A3</t>
  </si>
  <si>
    <t>Chung cư Ehome 3 - Block A4</t>
  </si>
  <si>
    <t>Chung cư Ehome 3 - Block A5</t>
  </si>
  <si>
    <t>Chung cư Ehome 3 - Block A6</t>
  </si>
  <si>
    <t>Chung cư Ehome 3 - Block B1</t>
  </si>
  <si>
    <t>Chung cư Ehome 2 - Block A</t>
  </si>
  <si>
    <t>Chung cư Ehome 2 - Block B</t>
  </si>
  <si>
    <t>TỔNG CHI PHÍ/ FULL FRAME</t>
  </si>
  <si>
    <t>TÒA NHÀ  HỒ CHÍ MINH</t>
  </si>
  <si>
    <t>LƯU Ý</t>
  </si>
  <si>
    <t>Không BĐS</t>
  </si>
  <si>
    <t>Không treo BĐS</t>
  </si>
  <si>
    <t>Lắp ngoài thang</t>
  </si>
  <si>
    <t>không QC ngân hàng trừ ACB</t>
  </si>
  <si>
    <t xml:space="preserve">lắp tầng hầm tầng 1 </t>
  </si>
  <si>
    <t>không treo ngân hàng trừ Sacombank.</t>
  </si>
  <si>
    <t>Không QC ngân hàng &amp; bảo hiểm trừ Eximbank.</t>
  </si>
  <si>
    <t>Không QC ngân hàng &amp; bảo hiểm trừ Prudential.</t>
  </si>
  <si>
    <t>Lắp ngoài thang máy.</t>
  </si>
  <si>
    <t>lắp dưới 2 tầng hầm.</t>
  </si>
  <si>
    <t>không QC bảo hiểm trừ Bảo Long insurance. Khung lắp tầng G và T6.</t>
  </si>
  <si>
    <t>không treo ngân hàng trừ BIDV.</t>
  </si>
  <si>
    <t>không QC ngân hàng trừ Sacombank.</t>
  </si>
  <si>
    <t>không QC ngân hàng trừ Tiên Phong bank.</t>
  </si>
  <si>
    <t>Không QC ngân hàng trừ Techcombank.</t>
  </si>
  <si>
    <t>treo 2 tầng hầm</t>
  </si>
  <si>
    <t>Treo tầng hầm.</t>
  </si>
  <si>
    <t>LƯỢT XEM QC /TUẦN</t>
  </si>
  <si>
    <t>treo sảnh thang máy tầng 1.</t>
  </si>
  <si>
    <t>treo hầm B2.</t>
  </si>
  <si>
    <t>2DF trong thang, 2DF tầng hầm.</t>
  </si>
  <si>
    <t>không QC ngân hàng trừ BIDV.</t>
  </si>
  <si>
    <t>Sảnh hầm H1,H2.</t>
  </si>
  <si>
    <t>Sảnh H1.</t>
  </si>
  <si>
    <t>2DF trong 1 thang máy.</t>
  </si>
  <si>
    <t>Sử dụng từ T6 đến T23.Tầng 5 trở xuống là dịch vụ của KS.</t>
  </si>
  <si>
    <t>Trong thang máy</t>
  </si>
  <si>
    <t>Trong thang máy.</t>
  </si>
  <si>
    <t>Không BĐS. Treo tầng hầm gửi xe.</t>
  </si>
  <si>
    <t>Sảnh tầng hầm.</t>
  </si>
  <si>
    <t>ko treo TTTM.</t>
  </si>
  <si>
    <t>ko treo nhãn hàng về điện lạnh .</t>
  </si>
  <si>
    <t>không treo bank, trừ Maritime bank</t>
  </si>
  <si>
    <t>Không treo bank.</t>
  </si>
  <si>
    <t>không treo BĐS</t>
  </si>
  <si>
    <t>không BĐS</t>
  </si>
  <si>
    <t>60 Trương Định</t>
  </si>
  <si>
    <t>Sở Xây Dựng - Block A</t>
  </si>
  <si>
    <t>Sở Xây Dựng - Block B</t>
  </si>
  <si>
    <t>Lắp cửa hầm B1,B2</t>
  </si>
  <si>
    <t>Lắp sảnh Tầng1</t>
  </si>
  <si>
    <t>Trong thang máy. Vào sảnh chính rẽ tay phải, đi hết hành lang đến thang máy</t>
  </si>
  <si>
    <t>Đô thị Lotus Lake View HH1-DN1</t>
  </si>
  <si>
    <t>Gia Thụy</t>
  </si>
  <si>
    <t>3DF/2 thang</t>
  </si>
  <si>
    <t>Đô thị Lotus Lake View HH1-DN2</t>
  </si>
  <si>
    <t>Đô thị Lotus Lake View HH2A-DN2</t>
  </si>
  <si>
    <t>Đô thị Lotus Lake View HH2B-DN2</t>
  </si>
  <si>
    <t>Đô thị Lotus Lake View HH2B-DN1</t>
  </si>
  <si>
    <t>Hei Tower Office</t>
  </si>
  <si>
    <t>1 Ngụy Như Kon Tum</t>
  </si>
  <si>
    <t>Sảnh thang máy tầng 1</t>
  </si>
  <si>
    <t>Hei Tower Block 1</t>
  </si>
  <si>
    <t>Hei Tower Block 2</t>
  </si>
  <si>
    <t>CC PHÚ LỢI 1 Block A</t>
  </si>
  <si>
    <t>CC PHÚ LỢI 1 Block B</t>
  </si>
  <si>
    <t>CC PHÚ LỢI 1 Block C</t>
  </si>
  <si>
    <t>CC PHÚ LỢI 1 Block D</t>
  </si>
  <si>
    <t>CC PHÚ LỢI 1 Block E</t>
  </si>
  <si>
    <t>CC PHÚ LỢI 1 Block F</t>
  </si>
  <si>
    <t>Chung cư An Viên Block A1</t>
  </si>
  <si>
    <t>Chung cư An Viên Block A2</t>
  </si>
  <si>
    <t>Chung cư An Viên Block A3</t>
  </si>
  <si>
    <t>CC 8C Tạ Quang Bửu</t>
  </si>
  <si>
    <t>Tạ Quang Bửu</t>
  </si>
  <si>
    <t>không QC hàng không, BĐS</t>
  </si>
  <si>
    <t>Ko treo bank trừ Vietcombank</t>
  </si>
  <si>
    <t>Ko treo bank trừ Vietinbank</t>
  </si>
  <si>
    <t>treo ngoài sảnh.Ko treo bank trừ vietbank.</t>
  </si>
  <si>
    <t>ko treo bank, trừ Agribank</t>
  </si>
  <si>
    <t>Ko treo bank trừ AMC.</t>
  </si>
  <si>
    <t>Ko treo bank trừ techcombank.</t>
  </si>
  <si>
    <t>ko treo bank trừ Agribank.</t>
  </si>
  <si>
    <t>Hera CT1 Cổ Nhuế</t>
  </si>
  <si>
    <t xml:space="preserve">KĐT Nam Cường,Cổ Nhuế </t>
  </si>
  <si>
    <t>PHÚ NHUẬN PLAZA</t>
  </si>
  <si>
    <t>82 Trần Huy Liệu, Phường 15</t>
  </si>
  <si>
    <t>228 Lê Duẩn</t>
  </si>
  <si>
    <t>Cement Building ( công ty xi măng)</t>
  </si>
  <si>
    <t>Không BĐS,không Bank</t>
  </si>
  <si>
    <t xml:space="preserve">25A, Lý Thường Kiệt, </t>
  </si>
  <si>
    <t>Cục quản trị ngân hàng nhà nước VN- block A</t>
  </si>
  <si>
    <t>vp</t>
  </si>
  <si>
    <t>Cục quản trị ngân hàng nhà nước VN- block B</t>
  </si>
  <si>
    <t>26-28 HÀM NGHI</t>
  </si>
  <si>
    <t>PARKSIDE RESIDENCE</t>
  </si>
  <si>
    <t>166-168 NAM KỲ KHỞI NGHĨA</t>
  </si>
  <si>
    <t>Vincom Hải Phòng</t>
  </si>
  <si>
    <t>Trong thang</t>
  </si>
  <si>
    <t>Res III Block A</t>
  </si>
  <si>
    <t>Nguyễn Lương Bằng</t>
  </si>
  <si>
    <t>DANH SÁCH FRAME QUẢNG CÁO TẠI CÁC TÒA NHÀ HỒ CHÍ MINH</t>
  </si>
  <si>
    <t>Him Lam Nam Khanh - Block F</t>
  </si>
  <si>
    <t>Nguyễn Biểu</t>
  </si>
  <si>
    <t xml:space="preserve">Tân Bình </t>
  </si>
  <si>
    <t>Tân Phú</t>
  </si>
  <si>
    <t>Gò Vấp</t>
  </si>
  <si>
    <t>Thủ Đức</t>
  </si>
  <si>
    <t>Petro Việt Nam Tower</t>
  </si>
  <si>
    <t>1-5 Le Duan</t>
  </si>
  <si>
    <t>Central Plaza</t>
  </si>
  <si>
    <t>17 Le Duan</t>
  </si>
  <si>
    <t>MB Sunny Tower</t>
  </si>
  <si>
    <t>259 Trần Hưng Đạo</t>
  </si>
  <si>
    <t>Fico 927 THĐ</t>
  </si>
  <si>
    <t>927 Trần Hưng Đạo</t>
  </si>
  <si>
    <t>Centec Tower</t>
  </si>
  <si>
    <t>Petroland Tân Trào Q7 (Office)</t>
  </si>
  <si>
    <t>12 Tân Trào</t>
  </si>
  <si>
    <t>Saigon Paragon</t>
  </si>
  <si>
    <t>3 Nguyen Luong Bang</t>
  </si>
  <si>
    <t>Flemington</t>
  </si>
  <si>
    <t>184 Le Dai Hanh</t>
  </si>
  <si>
    <t>SC Vivo City</t>
  </si>
  <si>
    <t>Nguyen Van Linh</t>
  </si>
  <si>
    <t>Lim 2 Tower</t>
  </si>
  <si>
    <t>158 Võ Văn Tần</t>
  </si>
  <si>
    <t>VP/CC</t>
  </si>
  <si>
    <t>Indochina Riverside Tower</t>
  </si>
  <si>
    <t>77 Tran Phu</t>
  </si>
  <si>
    <t>Vĩnh Trung Plaza</t>
  </si>
  <si>
    <t xml:space="preserve">Indochina Riverside Tower (Apt) </t>
  </si>
  <si>
    <t>74 Bạch Đằng</t>
  </si>
  <si>
    <t>Vĩnh Trung Apartment</t>
  </si>
  <si>
    <t>Đà Nẵng Plaza Block A</t>
  </si>
  <si>
    <t>16 Trần Phú</t>
  </si>
  <si>
    <t>Đà Nẵng Plaza Block B</t>
  </si>
  <si>
    <t>Lapaz Tower</t>
  </si>
  <si>
    <t>38 Nguyễn Chí Thanh</t>
  </si>
  <si>
    <t>low-end</t>
  </si>
  <si>
    <t>beer</t>
  </si>
  <si>
    <t xml:space="preserve">supermartket, real estate, low-end
</t>
  </si>
  <si>
    <t>real estate, low-end</t>
  </si>
  <si>
    <t>Vinaconex Tower</t>
  </si>
  <si>
    <t>34 Lang Ha</t>
  </si>
  <si>
    <t>Mipec A</t>
  </si>
  <si>
    <t>Sky City Tower</t>
  </si>
  <si>
    <t>88 Láng Hạ</t>
  </si>
  <si>
    <t>Tổng Cty CP Thiết bị điện VN - Gelex Emic</t>
  </si>
  <si>
    <t>52 Lê Đại Hành</t>
  </si>
  <si>
    <t>HCO (Melia HN)</t>
  </si>
  <si>
    <t>44B Lý Thường Kiệt</t>
  </si>
  <si>
    <t>TTX Việt Nam</t>
  </si>
  <si>
    <t>5 Lý Thường Kiệt</t>
  </si>
  <si>
    <t>Sentinel Place</t>
  </si>
  <si>
    <t>41A Lý Thái Tổ</t>
  </si>
  <si>
    <t>VOV</t>
  </si>
  <si>
    <t>58 Quán Sứ</t>
  </si>
  <si>
    <t xml:space="preserve">Trụ sở Bảo Việt </t>
  </si>
  <si>
    <t>8 Lê Thái Tổ</t>
  </si>
  <si>
    <t>VPI Tower</t>
  </si>
  <si>
    <t>173 Trung Kinh</t>
  </si>
  <si>
    <t xml:space="preserve">VP </t>
  </si>
  <si>
    <t>FPT Building</t>
  </si>
  <si>
    <t>Duy Tân</t>
  </si>
  <si>
    <t>CMC Tower</t>
  </si>
  <si>
    <t>Phố Duy Tân, Dịch Vọng</t>
  </si>
  <si>
    <t>Việt Á Tower</t>
  </si>
  <si>
    <t>Khu TTCN mới Cầu Giấy</t>
  </si>
  <si>
    <t>VDC Tower</t>
  </si>
  <si>
    <t>Pisd Tower</t>
  </si>
  <si>
    <t>148 Hoàng Quốc Việt</t>
  </si>
  <si>
    <t>E6 Phạm Hùng</t>
  </si>
  <si>
    <t>Keangnam Retail (chung cư tháp B)</t>
  </si>
  <si>
    <t>Keangnam Retail (TTTM và dịch vụ)</t>
  </si>
  <si>
    <t>Vinaconex 9 Tower</t>
  </si>
  <si>
    <t>HH4 Twin Tower A</t>
  </si>
  <si>
    <t>Phạm Hùng</t>
  </si>
  <si>
    <t>HH4 Twin Tower B</t>
  </si>
  <si>
    <t>HH4 Twin Tower C</t>
  </si>
  <si>
    <t>VTN - Tower</t>
  </si>
  <si>
    <t>HH3</t>
  </si>
  <si>
    <t>Mỹ Đình, Mễ Trì</t>
  </si>
  <si>
    <t>Euro Window A</t>
  </si>
  <si>
    <t>Euro Window B</t>
  </si>
  <si>
    <t>27 Trần Duy Hưng</t>
  </si>
  <si>
    <t>28 Trần Duy Hưng</t>
  </si>
  <si>
    <t>Coalimex</t>
  </si>
  <si>
    <t>33 Tràng Thi</t>
  </si>
  <si>
    <t>TT Hội Nghị Công Đoàn</t>
  </si>
  <si>
    <t>1A Yết Kiêu</t>
  </si>
  <si>
    <t>Tổng Cục Đường Bộ Việt Nam</t>
  </si>
  <si>
    <t>Ô D20 Tôn Thất Thuyết Khu ĐTM CG</t>
  </si>
  <si>
    <t xml:space="preserve">Star Tower </t>
  </si>
  <si>
    <t>KĐM Cầu Giấy</t>
  </si>
  <si>
    <t>Sakura</t>
  </si>
  <si>
    <t>47 Vũ Trọng Phụng</t>
  </si>
  <si>
    <t>Keangnam Parking</t>
  </si>
  <si>
    <t>Viễn Đông Building</t>
  </si>
  <si>
    <t>36 Hoang Cau</t>
  </si>
  <si>
    <t>Note: Bản kế hoạch có thể thay đổi 10% tòa nhà</t>
  </si>
  <si>
    <t>không bất động sản</t>
  </si>
  <si>
    <t>Keangnam Office Block A</t>
  </si>
  <si>
    <t>Keangnam Office Block B</t>
  </si>
  <si>
    <t>Keangnam Office Block C</t>
  </si>
  <si>
    <t>30 Phạm Hùng</t>
  </si>
  <si>
    <t>Mễ Trì Hạ Phạm Hùng</t>
  </si>
  <si>
    <t>Số 1 Đại lộ Thăng Long</t>
  </si>
  <si>
    <t>Sảnh thang máy tầng B1</t>
  </si>
  <si>
    <t>Sảnh thang máy tầng B2</t>
  </si>
  <si>
    <t>104 Mai Thị Lựu ,Phường Đakao</t>
  </si>
  <si>
    <t>MOBIVI</t>
  </si>
  <si>
    <t>Vincom Center Nguyễn Chí Thanh</t>
  </si>
  <si>
    <t>N.04 Tòa tháp A</t>
  </si>
  <si>
    <t>N.04 Tòa tháp B</t>
  </si>
  <si>
    <t>N.04 Tòa tháp C</t>
  </si>
  <si>
    <t>Khu N.4 Hoàng Đạo Thúy</t>
  </si>
  <si>
    <t>SATRA CENTRE MALL</t>
  </si>
  <si>
    <t>PHẠM HÙNG</t>
  </si>
  <si>
    <t>56 Nguyến Chí Thanh</t>
  </si>
  <si>
    <t>Ecopark D3</t>
  </si>
  <si>
    <t>Thăng Long Number One Block A1</t>
  </si>
  <si>
    <t>Thăng Long Number One Block B1</t>
  </si>
  <si>
    <t>Thăng Long Number One Block A2</t>
  </si>
  <si>
    <t>Thăng Long Number One Block B2</t>
  </si>
  <si>
    <t>Thăng Long Number One Block B3</t>
  </si>
  <si>
    <t>Số 1 Nguyễn Huy Tưởng</t>
  </si>
  <si>
    <t>Bình Hưng Hòa B</t>
  </si>
  <si>
    <t>Green Park Block A</t>
  </si>
  <si>
    <t>Green Park Block B</t>
  </si>
  <si>
    <t>Green Park Block C</t>
  </si>
  <si>
    <t>Báo Phụ Nữ</t>
  </si>
  <si>
    <t>311 Điện Biên Phủ, Phường 4</t>
  </si>
  <si>
    <t>Chung cư Bàu Cát B</t>
  </si>
  <si>
    <t>Trung Yên Plaza block A</t>
  </si>
  <si>
    <t>Trung Yên 5, Trung hòa</t>
  </si>
  <si>
    <t>sảnh thang máy tầng G</t>
  </si>
  <si>
    <t>6DF;3SF</t>
  </si>
  <si>
    <t>Cevimetal</t>
  </si>
  <si>
    <t>69 Quang Trung</t>
  </si>
  <si>
    <t>DANH SÁCH QUẢNG CÁO FRAME TẠI CÁC TÒA NHÀ  ĐÀ NẴNG</t>
  </si>
  <si>
    <t>Viện vật liệu xây dựng</t>
  </si>
  <si>
    <t xml:space="preserve"> The Sixty Eight Building</t>
  </si>
  <si>
    <t>68 Nguyễn Du</t>
  </si>
  <si>
    <t>Viettinbank Nam Bộ</t>
  </si>
  <si>
    <t>5DF;3SF</t>
  </si>
  <si>
    <t>3DF;2SF</t>
  </si>
  <si>
    <t>1DF, 3SF</t>
  </si>
  <si>
    <t>Đô Thành</t>
  </si>
  <si>
    <t>Phạm Ngọc Thạch</t>
  </si>
  <si>
    <t>10 tầng + 2 hầm</t>
  </si>
  <si>
    <t>Siêu thị</t>
  </si>
  <si>
    <t>Aeon Mall</t>
  </si>
  <si>
    <t>30 Bờ Bao Tân Thắng, P. Sơn Kỳ</t>
  </si>
  <si>
    <t>số 6 Lê Thánh Tôn</t>
  </si>
  <si>
    <t>Techno Soft building</t>
  </si>
  <si>
    <t>só 8 ngõ 15 Duy Tân</t>
  </si>
  <si>
    <t xml:space="preserve">255-257 Hùng Vương </t>
  </si>
  <si>
    <t>72 - 74 Nguyễn Thị Minh Khai</t>
  </si>
  <si>
    <t>253 Hùng Vương</t>
  </si>
  <si>
    <t>Vincom Việt Trì</t>
  </si>
  <si>
    <t>Đường Hùng Vương, TP. Việt Trì</t>
  </si>
  <si>
    <t>Phú Thọ</t>
  </si>
  <si>
    <t>CT1 -  KĐT Tây Mỗ</t>
  </si>
  <si>
    <t>Hữu Hưng</t>
  </si>
  <si>
    <t>CT2 -  KĐT Tây Mỗ</t>
  </si>
  <si>
    <t>Sơn Kỳ 2</t>
  </si>
  <si>
    <t>Đường DC6 –Sơn Kỳ</t>
  </si>
  <si>
    <t>Trung Yên Plaza block B</t>
  </si>
  <si>
    <t xml:space="preserve">DANH SÁCH CÁC TÒA NHÀ QUẢNG CÁO FRAME TẠI HÀ NỘI </t>
  </si>
  <si>
    <t>F Xuân La</t>
  </si>
  <si>
    <t>28 Xuân La</t>
  </si>
  <si>
    <t>Vườn Xuân Block A</t>
  </si>
  <si>
    <t>71 Nguyễn Chí Thanh</t>
  </si>
  <si>
    <t xml:space="preserve"> Đống Đa</t>
  </si>
  <si>
    <t>thang đi 4 tầng VP</t>
  </si>
  <si>
    <t>Vườn Xuân Block B</t>
  </si>
  <si>
    <t>72 Nguyễn Chí Thanh</t>
  </si>
  <si>
    <t>Vincom Royal City R1_ Block A thang lẻ</t>
  </si>
  <si>
    <t>Vincom Royal City R1_ Block A thang chẵn</t>
  </si>
  <si>
    <t>Vincom Royal City R1_ Block B thang lẻ</t>
  </si>
  <si>
    <t>Vincom Royal City R1_ Block B thang chẵn</t>
  </si>
  <si>
    <t>Vincom Royal City R2_ Block A thang lẻ</t>
  </si>
  <si>
    <t>Vincom Royal City R2_ Block A thang chẵn</t>
  </si>
  <si>
    <t>Vincom Royal City R2_ Block B thang lẻ</t>
  </si>
  <si>
    <t>Vincom Royal City R2_ Block B thang chẵn</t>
  </si>
  <si>
    <t>Vincom Royal City R4- Block A thang lẻ</t>
  </si>
  <si>
    <t>Vincom Royal City R4- Block A thang chẵn</t>
  </si>
  <si>
    <t>Vincom Royal City R4- Block B thang lẻ</t>
  </si>
  <si>
    <t>Vincom Royal City R4- Block B thang chẵn</t>
  </si>
  <si>
    <t>Vincom Royal City R5- Block A thang lẻ</t>
  </si>
  <si>
    <t>Vincom Royal City R5- Block A thang chẵn</t>
  </si>
  <si>
    <t>Vincom Royal City R5- Block B thang lẻ</t>
  </si>
  <si>
    <t>Vincom Royal City R5- Block B thang chẵn</t>
  </si>
  <si>
    <t>Vincom Nguyễn Chí Thanh Apartment Block A</t>
  </si>
  <si>
    <t>Nguyễn Chí Thanh</t>
  </si>
  <si>
    <t>Vincom Nguyễn Chí Thanh Apartment Block B</t>
  </si>
  <si>
    <t>Vincom Nguyễn Chí Thanh Apartment Block C</t>
  </si>
  <si>
    <t>CT36 Tower</t>
  </si>
  <si>
    <t>326 Lê Trọng Tấn, Thanh Xuân, Hà Nội</t>
  </si>
  <si>
    <t>TANI OFFICE</t>
  </si>
  <si>
    <t>475D  Lê Trọng Tấn, P. Sơn Kỳ</t>
  </si>
  <si>
    <t>SF</t>
  </si>
  <si>
    <t>TÒA NHÀ ĐÀ NẴNG</t>
  </si>
  <si>
    <t>TECCO GREEN NEST 1</t>
  </si>
  <si>
    <t xml:space="preserve">299 Phan Văn Hớn </t>
  </si>
  <si>
    <t>TG
(Tuần)</t>
  </si>
  <si>
    <t>TG (Tuần)</t>
  </si>
  <si>
    <t>KDT Vincom Riveside</t>
  </si>
  <si>
    <t>P. Việt Hưng</t>
  </si>
  <si>
    <t>Hapulico Office Building Block C</t>
  </si>
  <si>
    <t>không chụp hình quay phim trong thang máy, không BĐS</t>
  </si>
  <si>
    <t>172 Trần Bình</t>
  </si>
  <si>
    <t>172 Trần Bình, Mỹ Đình</t>
  </si>
  <si>
    <t>Khu Dân Cư Bình Trị Đông, phường Bình Trị Đông B</t>
  </si>
  <si>
    <t>Bình Trị Đông B Block A</t>
  </si>
  <si>
    <t>Bình Trị Đông B Block B</t>
  </si>
  <si>
    <t>Bình Trị Đông B Block C</t>
  </si>
  <si>
    <t>Vincom Center Thái Bình</t>
  </si>
  <si>
    <t>Đường Thái Bình, TP. Thái Bình</t>
  </si>
  <si>
    <t>Thái Bình</t>
  </si>
  <si>
    <t>Vincom Royal R6 Apartment Block A</t>
  </si>
  <si>
    <t>72A Nguyễn Trãi, Thanh Xuân</t>
  </si>
  <si>
    <t>Vincom Royal R6 Apartment Block B</t>
  </si>
  <si>
    <t>Chung cư Đội Nhân Block A1</t>
  </si>
  <si>
    <t>Số 6 Đội Nhân, Ba Đình</t>
  </si>
  <si>
    <t>Chung cư Đội Nhân Block A2</t>
  </si>
  <si>
    <t>Chung cư Đội Nhân Block B</t>
  </si>
  <si>
    <t>Loại I</t>
  </si>
  <si>
    <t>1DF. 2SF</t>
  </si>
  <si>
    <t>2DF. 1SF</t>
  </si>
  <si>
    <t>CJ Tower Block A</t>
  </si>
  <si>
    <t>CJ Tower Block B</t>
  </si>
  <si>
    <t xml:space="preserve">D-HEARD  </t>
  </si>
  <si>
    <t>371 Nguyễn Kiệm, Gò Vấp</t>
  </si>
  <si>
    <t>1DF, 1SF</t>
  </si>
  <si>
    <r>
      <t xml:space="preserve">Galeximco </t>
    </r>
    <r>
      <rPr>
        <sz val="9"/>
        <color indexed="10"/>
        <rFont val="Times New Roman"/>
        <family val="1"/>
      </rPr>
      <t>(lắp ngoài sảnh)</t>
    </r>
  </si>
  <si>
    <r>
      <t>Oriental Tower</t>
    </r>
    <r>
      <rPr>
        <sz val="9"/>
        <color indexed="10"/>
        <rFont val="Times New Roman"/>
        <family val="1"/>
      </rPr>
      <t xml:space="preserve"> (lắp ngoài sảnh)</t>
    </r>
  </si>
  <si>
    <r>
      <t xml:space="preserve">TTTM Grand Plaza </t>
    </r>
    <r>
      <rPr>
        <sz val="9"/>
        <color indexed="10"/>
        <rFont val="Times New Roman"/>
        <family val="1"/>
      </rPr>
      <t>(lắp bên ngoài)</t>
    </r>
  </si>
  <si>
    <r>
      <t>Vinafor Tower</t>
    </r>
    <r>
      <rPr>
        <sz val="9"/>
        <color indexed="10"/>
        <rFont val="Times New Roman"/>
        <family val="1"/>
      </rPr>
      <t xml:space="preserve"> (lắp bên ngoài)</t>
    </r>
  </si>
  <si>
    <r>
      <t xml:space="preserve">HCM CC249A Thụy Khuê  Apartment </t>
    </r>
    <r>
      <rPr>
        <sz val="9"/>
        <color indexed="10"/>
        <rFont val="Times New Roman"/>
        <family val="1"/>
      </rPr>
      <t>lắp sảnh B1</t>
    </r>
  </si>
  <si>
    <r>
      <t>M5 Tower</t>
    </r>
    <r>
      <rPr>
        <sz val="9"/>
        <color indexed="10"/>
        <rFont val="Times New Roman"/>
        <family val="1"/>
      </rPr>
      <t xml:space="preserve"> </t>
    </r>
  </si>
  <si>
    <r>
      <t xml:space="preserve">Làng Quốc Tế Thăng Long </t>
    </r>
    <r>
      <rPr>
        <b/>
        <sz val="9"/>
        <rFont val="Times New Roman"/>
        <family val="1"/>
      </rPr>
      <t xml:space="preserve">B5 </t>
    </r>
  </si>
  <si>
    <r>
      <t xml:space="preserve">Diamond plaza </t>
    </r>
    <r>
      <rPr>
        <sz val="9"/>
        <color indexed="10"/>
        <rFont val="Times New Roman"/>
        <family val="1"/>
      </rPr>
      <t xml:space="preserve">(gắn phía ngoài B1,B2) </t>
    </r>
    <r>
      <rPr>
        <vertAlign val="superscript"/>
        <sz val="9"/>
        <color indexed="10"/>
        <rFont val="Times New Roman"/>
        <family val="1"/>
      </rPr>
      <t xml:space="preserve"> </t>
    </r>
  </si>
  <si>
    <r>
      <t xml:space="preserve">PVFCCo </t>
    </r>
    <r>
      <rPr>
        <sz val="9"/>
        <color indexed="10"/>
        <rFont val="Times New Roman"/>
        <family val="1"/>
      </rPr>
      <t>(DF lắp ngoài thang)</t>
    </r>
  </si>
  <si>
    <r>
      <t>Lafayetta De Sài Gòn</t>
    </r>
    <r>
      <rPr>
        <sz val="9"/>
        <color indexed="10"/>
        <rFont val="Times New Roman"/>
        <family val="1"/>
      </rPr>
      <t xml:space="preserve"> (lắp ngoài thang máy)</t>
    </r>
  </si>
  <si>
    <r>
      <t>Minh Long Tower</t>
    </r>
    <r>
      <rPr>
        <sz val="9"/>
        <color indexed="10"/>
        <rFont val="Times New Roman"/>
        <family val="1"/>
      </rPr>
      <t xml:space="preserve"> (lắp ngoài tầng B1, B2, B3)</t>
    </r>
  </si>
  <si>
    <r>
      <t xml:space="preserve">Rosana </t>
    </r>
    <r>
      <rPr>
        <vertAlign val="superscript"/>
        <sz val="9"/>
        <rFont val="Times New Roman"/>
        <family val="1"/>
      </rPr>
      <t xml:space="preserve">new </t>
    </r>
    <r>
      <rPr>
        <sz val="9"/>
        <rFont val="Times New Roman"/>
        <family val="1"/>
      </rPr>
      <t>(tòa nhà NDC)</t>
    </r>
  </si>
  <si>
    <t>91 Phạm Văn Hai, P.3</t>
  </si>
  <si>
    <t>2DF, 2SF</t>
  </si>
  <si>
    <t>6DF,3SF</t>
  </si>
  <si>
    <t>Khu đô thị Nam Cường, Cổ Nhuế</t>
  </si>
  <si>
    <t>Nam Cường  Cổ Nhuế CT3-Block A ( Atlas)</t>
  </si>
  <si>
    <t>Nam Cường Cổ Nhuế CT3-Block B ( Apolo )</t>
  </si>
  <si>
    <t>Nam Cường Cổ Nhuế CT3-Block D ( Athena )</t>
  </si>
  <si>
    <t>Số 1 Lê Thánh Tông, Ngô Quyền</t>
  </si>
  <si>
    <t>Tỉnh</t>
  </si>
  <si>
    <t>Hải Phòng</t>
  </si>
  <si>
    <t xml:space="preserve"> Quảng Ninh</t>
  </si>
  <si>
    <t>DANH SÁCH CÁC TÒA NHÀ QUẢNG CÁO FRAME TẠI CÁC TỈNH</t>
  </si>
  <si>
    <t>Nam Cường Cổ Nhuế CT3-Block C ( Atermit )</t>
  </si>
  <si>
    <t>TỔNG
FRAME</t>
  </si>
  <si>
    <t>Đường số 3, khu phố 4, P. Bình An</t>
  </si>
  <si>
    <t>CC Bộ Công An Block A1</t>
  </si>
  <si>
    <t>CC Bộ Công An Block A2</t>
  </si>
  <si>
    <t xml:space="preserve"> KĐT Nam Cường, Dương Nội  </t>
  </si>
  <si>
    <t>ko treo bank trừ VIB, không treo mỹ phẩm</t>
  </si>
  <si>
    <t xml:space="preserve">Không BĐS. Trong thang máy </t>
  </si>
  <si>
    <t xml:space="preserve"> Lộc Lê</t>
  </si>
  <si>
    <t>Kho Bạc Nhà Nước Ba Đình</t>
  </si>
  <si>
    <t>Số 8-Kim mã Thượng, Ba Đình</t>
  </si>
  <si>
    <t>Tropic Garden Block A1</t>
  </si>
  <si>
    <t>: Số 66 Nguyễn Văn Hưởng, P. Thảo Điền</t>
  </si>
  <si>
    <t>Tân Xuân, Đông Ngạc</t>
  </si>
  <si>
    <t>Ecohome 1 - E1A</t>
  </si>
  <si>
    <t>Ecohome 1 - E1B</t>
  </si>
  <si>
    <t>Ecohome 1 - E2</t>
  </si>
  <si>
    <t>Ecohome 1 - E3A</t>
  </si>
  <si>
    <t>Ecohome 1- E3B</t>
  </si>
  <si>
    <t>Ecohome 1 - E4</t>
  </si>
  <si>
    <t>Ecohome 2 - C1A</t>
  </si>
  <si>
    <t>Ecohome 2 - C2A</t>
  </si>
  <si>
    <t>Ecohome 2 - C2B</t>
  </si>
  <si>
    <t>Ecohome 2 - C1B</t>
  </si>
  <si>
    <t>Trong 3 thang máy</t>
  </si>
  <si>
    <t>Không Ngân Hàng, Bảo hiểm. Trong thang máy</t>
  </si>
  <si>
    <t>Rice City Nam – Linh Đàm</t>
  </si>
  <si>
    <t>Trong 2 thang máy</t>
  </si>
  <si>
    <t>Thanh Hân Building</t>
  </si>
  <si>
    <t>40 Hoàng Việt</t>
  </si>
  <si>
    <t>85 Vũ Trọng Phụng</t>
  </si>
  <si>
    <t>Hapulico Center  (Block thạng nội bộ)</t>
  </si>
  <si>
    <t>8DF, 8SF</t>
  </si>
  <si>
    <t>Đường DC13, Phường Sơn Kỳ</t>
  </si>
  <si>
    <t>Sơn Kỳ 1 - Block A</t>
  </si>
  <si>
    <t>Sơn Kỳ 1 - Block B</t>
  </si>
  <si>
    <t>Dragon Eyes.</t>
  </si>
  <si>
    <t>Nguyễn Văn Công, Gò Vấp</t>
  </si>
  <si>
    <t>EMPIRE TOWER</t>
  </si>
  <si>
    <t xml:space="preserve">DC Tower </t>
  </si>
  <si>
    <t>Res III Block B</t>
  </si>
  <si>
    <t>Hoàng Anh Gia Lai Lake View Bock A</t>
  </si>
  <si>
    <t>72 Hàm Nghi</t>
  </si>
  <si>
    <t>T1 đến T3 là TTTM, T4-T32 là CC cao cấp.</t>
  </si>
  <si>
    <t>Hoàng Anh Gia Lai Lake View Bock B</t>
  </si>
  <si>
    <t xml:space="preserve"> Thanh Khê</t>
  </si>
  <si>
    <t xml:space="preserve">Bộ khoa học và công nghệ block A </t>
  </si>
  <si>
    <t>113 Trần Duy Hưng</t>
  </si>
  <si>
    <t xml:space="preserve">Trong thang máy </t>
  </si>
  <si>
    <t>Bộ khoa học và công nghệ block B</t>
  </si>
  <si>
    <t xml:space="preserve">Chung cư 137 Nguyễn Ngọc Vũ </t>
  </si>
  <si>
    <t>137 Nguyễn Ngọc Vũ</t>
  </si>
  <si>
    <t>NO2 - DN2</t>
  </si>
  <si>
    <t>NO2 - DN1</t>
  </si>
  <si>
    <t>Chung cu 2F Quang Trung</t>
  </si>
  <si>
    <t>39C, Hai Bà Trưng</t>
  </si>
  <si>
    <t>Trong 1 thang máy</t>
  </si>
  <si>
    <t>LOẠI 4</t>
  </si>
  <si>
    <t>Trong thang máy khách</t>
  </si>
  <si>
    <t>LOẠI TÒA NHÀ</t>
  </si>
  <si>
    <t>Không BĐS. Tầng 1, 6, 7. Trong thang máy</t>
  </si>
  <si>
    <t>Không BĐS. Trong thang máy</t>
  </si>
  <si>
    <t>không treo bank trừ MB</t>
  </si>
  <si>
    <t>không treo bank trừ SCB</t>
  </si>
  <si>
    <t>Không Bank trừ Vietbank</t>
  </si>
  <si>
    <t>Cửa thang máy hầm B1. Ko chạy xe máy trừ Yamaha</t>
  </si>
  <si>
    <t>Trong thang máy. Ko Bank trừ maritimebank</t>
  </si>
  <si>
    <t>Không viễn thông. Trong thang máy.</t>
  </si>
  <si>
    <t>ko BĐS</t>
  </si>
  <si>
    <t>Không BĐS co logo ngan hang tren mq và trang sức</t>
  </si>
  <si>
    <t>Ko BĐS co logo ngan hang tren mq và trang sức</t>
  </si>
  <si>
    <t xml:space="preserve">Tổng Cục Hải Quan </t>
  </si>
  <si>
    <t>Lô E3 Dương Đình Nghệ</t>
  </si>
  <si>
    <t>Ko chụp hình trong tòa nhà. 2DF 32inch ngoài sảnh B2</t>
  </si>
  <si>
    <t>Đại Dũng Office Building - Khu shophouse Saigon Pearl</t>
  </si>
  <si>
    <t>Tropic Garden Block A2</t>
  </si>
  <si>
    <t>Số 66 Nguyễn Văn Hưởng, P. Thảo Điền</t>
  </si>
  <si>
    <t>295 Tân Kỳ Tân Quý</t>
  </si>
  <si>
    <t>The Garden - Block A</t>
  </si>
  <si>
    <t>Nguyễn Duy Trinh</t>
  </si>
  <si>
    <t>The Garden - Block B</t>
  </si>
  <si>
    <t>PARC SPRING - Block A</t>
  </si>
  <si>
    <t>PARC SPRING - Block B</t>
  </si>
  <si>
    <t>SOHUDE TOWER</t>
  </si>
  <si>
    <t>Nguyễn Trọng Tuyển</t>
  </si>
  <si>
    <t>Phan Huy Ích</t>
  </si>
  <si>
    <t>PH</t>
  </si>
  <si>
    <t>PHÚC YÊN - Block A</t>
  </si>
  <si>
    <t>PHÚC YÊN - Block B</t>
  </si>
  <si>
    <t>Lắp ngoài B1,B2,B3.</t>
  </si>
  <si>
    <t>Green Global</t>
  </si>
  <si>
    <t>Sai Gon Agri Building</t>
  </si>
  <si>
    <t>ngưng hoạt động</t>
  </si>
  <si>
    <t>chênh admin</t>
  </si>
  <si>
    <t>MỸ ĐỨC</t>
  </si>
  <si>
    <t>220 XVNT, P21</t>
  </si>
  <si>
    <t xml:space="preserve"> 6SL, 3DF</t>
  </si>
  <si>
    <t>Saigon Land</t>
  </si>
  <si>
    <t>PHÚ THỌ A4</t>
  </si>
  <si>
    <t xml:space="preserve">Nguyễn Thị Nhỏ - Lê Đại Hành </t>
  </si>
  <si>
    <t>PHÚ THỌ A5</t>
  </si>
  <si>
    <t>PHÚ THỌ A6</t>
  </si>
  <si>
    <t>CC Bộ Công An Block B1</t>
  </si>
  <si>
    <t>Trần Não</t>
  </si>
  <si>
    <t>CC Bộ Công An Block B2</t>
  </si>
  <si>
    <t>CC Bộ Công An Block C1</t>
  </si>
  <si>
    <t>CC Bộ Công An Block C2</t>
  </si>
  <si>
    <t>M&amp;N Tower</t>
  </si>
  <si>
    <t>258 Nam Kỳ Khởi Nghĩa</t>
  </si>
  <si>
    <t>TUẦN 1/2017 VẪN CHẠY</t>
  </si>
  <si>
    <t>tạm ngưng</t>
  </si>
  <si>
    <t xml:space="preserve">Golden West Building Block B </t>
  </si>
  <si>
    <t xml:space="preserve">Số 2 Lê Văn Thiêm </t>
  </si>
  <si>
    <t xml:space="preserve">Golden West Building Block C </t>
  </si>
  <si>
    <t xml:space="preserve">Golden West Building Block A </t>
  </si>
  <si>
    <t xml:space="preserve">tạm ngưng </t>
  </si>
  <si>
    <t>Số 2 Long  Biên II, phường Ngọc Lâm</t>
  </si>
  <si>
    <t xml:space="preserve"> Long Biên</t>
  </si>
  <si>
    <t xml:space="preserve"> Mipec Riverside Long Biên Block A1 </t>
  </si>
  <si>
    <t xml:space="preserve"> Mipec Riverside Long Biên Block A2</t>
  </si>
  <si>
    <t xml:space="preserve"> Mipec Riverside Long Biên Block B1</t>
  </si>
  <si>
    <t xml:space="preserve"> Mipec Riverside Long Biên Block B2</t>
  </si>
  <si>
    <t xml:space="preserve"> Mipec Riverside Long Biên VIP</t>
  </si>
  <si>
    <t>bắt đầu từ 20/3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</si>
</sst>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₫_-;\-* #,##0.00\ _₫_-;_-* &quot;-&quot;??\ _₫_-;_-@_-"/>
    <numFmt numFmtId="173" formatCode="_(* #,##0_);_(* \(#,##0\);_(* &quot;-&quot;??_);_(@_)"/>
    <numFmt numFmtId="174" formatCode="_(* #,##0\ \ \ _);_(* \(#,##0\ \ \ \);_(* &quot;&quot;??_);_(@_)"/>
    <numFmt numFmtId="175" formatCode="_-* #,##0\ _₫_-;\-* #,##0\ _₫_-;_-* &quot;-&quot;??\ _₫_-;_-@_-"/>
    <numFmt numFmtId="176" formatCode="hh:mm:ss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22"/>
      <color indexed="12"/>
      <name val="Times New Roman"/>
      <family val="1"/>
    </font>
    <font>
      <sz val="12"/>
      <name val="宋体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vertAlign val="superscript"/>
      <sz val="9"/>
      <name val="Times New Roman"/>
      <family val="1"/>
    </font>
    <font>
      <sz val="22"/>
      <color indexed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.VnTime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3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3" fillId="0" borderId="0">
      <alignment/>
      <protection/>
    </xf>
  </cellStyleXfs>
  <cellXfs count="513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center"/>
    </xf>
    <xf numFmtId="172" fontId="2" fillId="33" borderId="0" xfId="42" applyFont="1" applyFill="1" applyBorder="1" applyAlignment="1">
      <alignment horizontal="center" vertical="center"/>
    </xf>
    <xf numFmtId="173" fontId="2" fillId="33" borderId="0" xfId="42" applyNumberFormat="1" applyFont="1" applyFill="1" applyBorder="1" applyAlignment="1">
      <alignment horizontal="center" vertical="center"/>
    </xf>
    <xf numFmtId="173" fontId="2" fillId="33" borderId="0" xfId="42" applyNumberFormat="1" applyFont="1" applyFill="1" applyBorder="1" applyAlignment="1">
      <alignment horizontal="left" vertical="center"/>
    </xf>
    <xf numFmtId="173" fontId="2" fillId="33" borderId="0" xfId="42" applyNumberFormat="1" applyFont="1" applyFill="1" applyBorder="1" applyAlignment="1">
      <alignment horizontal="right" vertical="center"/>
    </xf>
    <xf numFmtId="173" fontId="3" fillId="33" borderId="0" xfId="42" applyNumberFormat="1" applyFont="1" applyFill="1" applyBorder="1" applyAlignment="1">
      <alignment horizontal="right" vertical="center"/>
    </xf>
    <xf numFmtId="173" fontId="2" fillId="33" borderId="0" xfId="42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9" fillId="34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173" fontId="80" fillId="34" borderId="10" xfId="42" applyNumberFormat="1" applyFont="1" applyFill="1" applyBorder="1" applyAlignment="1">
      <alignment horizontal="left"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173" fontId="5" fillId="34" borderId="10" xfId="42" applyNumberFormat="1" applyFont="1" applyFill="1" applyBorder="1" applyAlignment="1">
      <alignment horizontal="left"/>
    </xf>
    <xf numFmtId="0" fontId="83" fillId="0" borderId="0" xfId="0" applyFont="1" applyAlignment="1">
      <alignment/>
    </xf>
    <xf numFmtId="173" fontId="5" fillId="34" borderId="10" xfId="42" applyNumberFormat="1" applyFont="1" applyFill="1" applyBorder="1" applyAlignment="1">
      <alignment horizontal="center"/>
    </xf>
    <xf numFmtId="173" fontId="5" fillId="34" borderId="10" xfId="42" applyNumberFormat="1" applyFont="1" applyFill="1" applyBorder="1" applyAlignment="1">
      <alignment horizontal="right"/>
    </xf>
    <xf numFmtId="173" fontId="4" fillId="34" borderId="10" xfId="42" applyNumberFormat="1" applyFont="1" applyFill="1" applyBorder="1" applyAlignment="1">
      <alignment horizontal="right" vertical="center"/>
    </xf>
    <xf numFmtId="173" fontId="80" fillId="33" borderId="0" xfId="42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6" fillId="34" borderId="0" xfId="0" applyFont="1" applyFill="1" applyBorder="1" applyAlignment="1">
      <alignment horizontal="left"/>
    </xf>
    <xf numFmtId="0" fontId="5" fillId="34" borderId="10" xfId="69" applyFont="1" applyFill="1" applyBorder="1" applyAlignment="1">
      <alignment horizontal="center" vertical="center" wrapText="1"/>
      <protection/>
    </xf>
    <xf numFmtId="0" fontId="5" fillId="34" borderId="11" xfId="69" applyFont="1" applyFill="1" applyBorder="1" applyAlignment="1">
      <alignment horizontal="center" vertical="center" wrapText="1"/>
      <protection/>
    </xf>
    <xf numFmtId="0" fontId="5" fillId="34" borderId="10" xfId="63" applyFont="1" applyFill="1" applyBorder="1" applyAlignment="1">
      <alignment horizontal="left" vertical="center" wrapText="1"/>
      <protection/>
    </xf>
    <xf numFmtId="0" fontId="5" fillId="34" borderId="10" xfId="67" applyFont="1" applyFill="1" applyBorder="1" applyAlignment="1">
      <alignment vertical="center" wrapText="1"/>
      <protection/>
    </xf>
    <xf numFmtId="0" fontId="5" fillId="34" borderId="10" xfId="69" applyFont="1" applyFill="1" applyBorder="1" applyAlignment="1">
      <alignment vertical="center" wrapText="1"/>
      <protection/>
    </xf>
    <xf numFmtId="0" fontId="5" fillId="34" borderId="11" xfId="63" applyFont="1" applyFill="1" applyBorder="1" applyAlignment="1">
      <alignment horizontal="left" vertical="center" wrapText="1"/>
      <protection/>
    </xf>
    <xf numFmtId="173" fontId="5" fillId="34" borderId="11" xfId="42" applyNumberFormat="1" applyFont="1" applyFill="1" applyBorder="1" applyAlignment="1">
      <alignment horizontal="left"/>
    </xf>
    <xf numFmtId="173" fontId="5" fillId="34" borderId="11" xfId="42" applyNumberFormat="1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78" fillId="34" borderId="0" xfId="0" applyFont="1" applyFill="1" applyAlignment="1">
      <alignment/>
    </xf>
    <xf numFmtId="0" fontId="78" fillId="0" borderId="0" xfId="0" applyFont="1" applyBorder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/>
    </xf>
    <xf numFmtId="173" fontId="80" fillId="34" borderId="11" xfId="42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88" fillId="0" borderId="10" xfId="0" applyFont="1" applyBorder="1" applyAlignment="1">
      <alignment/>
    </xf>
    <xf numFmtId="0" fontId="16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34" borderId="0" xfId="0" applyFont="1" applyFill="1" applyBorder="1" applyAlignment="1">
      <alignment/>
    </xf>
    <xf numFmtId="0" fontId="88" fillId="0" borderId="0" xfId="0" applyFont="1" applyAlignment="1">
      <alignment horizontal="left"/>
    </xf>
    <xf numFmtId="0" fontId="89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88" fillId="35" borderId="0" xfId="0" applyFont="1" applyFill="1" applyAlignment="1">
      <alignment/>
    </xf>
    <xf numFmtId="173" fontId="88" fillId="0" borderId="0" xfId="0" applyNumberFormat="1" applyFont="1" applyAlignment="1">
      <alignment/>
    </xf>
    <xf numFmtId="175" fontId="78" fillId="0" borderId="0" xfId="42" applyNumberFormat="1" applyFont="1" applyAlignment="1">
      <alignment/>
    </xf>
    <xf numFmtId="0" fontId="15" fillId="34" borderId="0" xfId="0" applyFont="1" applyFill="1" applyBorder="1" applyAlignment="1">
      <alignment vertical="center"/>
    </xf>
    <xf numFmtId="172" fontId="15" fillId="34" borderId="0" xfId="42" applyFont="1" applyFill="1" applyBorder="1" applyAlignment="1">
      <alignment horizontal="left" vertical="center"/>
    </xf>
    <xf numFmtId="173" fontId="15" fillId="34" borderId="0" xfId="42" applyNumberFormat="1" applyFont="1" applyFill="1" applyBorder="1" applyAlignment="1">
      <alignment horizontal="left" vertical="center" wrapText="1"/>
    </xf>
    <xf numFmtId="173" fontId="90" fillId="34" borderId="0" xfId="42" applyNumberFormat="1" applyFont="1" applyFill="1" applyBorder="1" applyAlignment="1">
      <alignment horizontal="center" wrapText="1"/>
    </xf>
    <xf numFmtId="173" fontId="15" fillId="34" borderId="0" xfId="42" applyNumberFormat="1" applyFont="1" applyFill="1" applyBorder="1" applyAlignment="1">
      <alignment horizontal="left" wrapText="1"/>
    </xf>
    <xf numFmtId="0" fontId="88" fillId="0" borderId="0" xfId="0" applyFont="1" applyFill="1" applyAlignment="1">
      <alignment/>
    </xf>
    <xf numFmtId="0" fontId="83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173" fontId="2" fillId="33" borderId="0" xfId="42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73" fontId="5" fillId="34" borderId="10" xfId="42" applyNumberFormat="1" applyFont="1" applyFill="1" applyBorder="1" applyAlignment="1">
      <alignment horizontal="center" vertical="center"/>
    </xf>
    <xf numFmtId="173" fontId="15" fillId="34" borderId="0" xfId="42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3" fontId="18" fillId="33" borderId="12" xfId="0" applyNumberFormat="1" applyFont="1" applyFill="1" applyBorder="1" applyAlignment="1">
      <alignment/>
    </xf>
    <xf numFmtId="172" fontId="79" fillId="0" borderId="12" xfId="42" applyFont="1" applyBorder="1" applyAlignment="1">
      <alignment/>
    </xf>
    <xf numFmtId="3" fontId="18" fillId="34" borderId="12" xfId="0" applyNumberFormat="1" applyFont="1" applyFill="1" applyBorder="1" applyAlignment="1">
      <alignment horizontal="left"/>
    </xf>
    <xf numFmtId="3" fontId="18" fillId="33" borderId="12" xfId="0" applyNumberFormat="1" applyFont="1" applyFill="1" applyBorder="1" applyAlignment="1">
      <alignment horizontal="center" vertical="center"/>
    </xf>
    <xf numFmtId="3" fontId="80" fillId="33" borderId="12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15" xfId="0" applyNumberFormat="1" applyFont="1" applyFill="1" applyBorder="1" applyAlignment="1">
      <alignment/>
    </xf>
    <xf numFmtId="3" fontId="5" fillId="34" borderId="10" xfId="0" applyNumberFormat="1" applyFont="1" applyFill="1" applyBorder="1" applyAlignment="1" quotePrefix="1">
      <alignment horizontal="left" vertical="center"/>
    </xf>
    <xf numFmtId="172" fontId="5" fillId="34" borderId="10" xfId="42" applyFont="1" applyFill="1" applyBorder="1" applyAlignment="1">
      <alignment horizontal="left" vertical="center"/>
    </xf>
    <xf numFmtId="172" fontId="5" fillId="34" borderId="10" xfId="42" applyFont="1" applyFill="1" applyBorder="1" applyAlignment="1" applyProtection="1">
      <alignment horizontal="left" vertical="center"/>
      <protection/>
    </xf>
    <xf numFmtId="173" fontId="5" fillId="34" borderId="10" xfId="42" applyNumberFormat="1" applyFont="1" applyFill="1" applyBorder="1" applyAlignment="1">
      <alignment horizontal="left" vertical="center"/>
    </xf>
    <xf numFmtId="173" fontId="5" fillId="34" borderId="10" xfId="42" applyNumberFormat="1" applyFont="1" applyFill="1" applyBorder="1" applyAlignment="1">
      <alignment horizontal="left" vertical="center" wrapText="1"/>
    </xf>
    <xf numFmtId="173" fontId="80" fillId="34" borderId="10" xfId="42" applyNumberFormat="1" applyFont="1" applyFill="1" applyBorder="1" applyAlignment="1">
      <alignment horizontal="center"/>
    </xf>
    <xf numFmtId="173" fontId="4" fillId="34" borderId="10" xfId="42" applyNumberFormat="1" applyFont="1" applyFill="1" applyBorder="1" applyAlignment="1">
      <alignment horizontal="left"/>
    </xf>
    <xf numFmtId="173" fontId="4" fillId="34" borderId="10" xfId="42" applyNumberFormat="1" applyFont="1" applyFill="1" applyBorder="1" applyAlignment="1">
      <alignment horizontal="left" vertical="center"/>
    </xf>
    <xf numFmtId="173" fontId="5" fillId="34" borderId="10" xfId="42" applyNumberFormat="1" applyFont="1" applyFill="1" applyBorder="1" applyAlignment="1" applyProtection="1">
      <alignment horizontal="left" vertical="center"/>
      <protection hidden="1"/>
    </xf>
    <xf numFmtId="173" fontId="80" fillId="34" borderId="10" xfId="42" applyNumberFormat="1" applyFont="1" applyFill="1" applyBorder="1" applyAlignment="1" applyProtection="1">
      <alignment horizontal="center"/>
      <protection hidden="1"/>
    </xf>
    <xf numFmtId="173" fontId="4" fillId="34" borderId="10" xfId="42" applyNumberFormat="1" applyFont="1" applyFill="1" applyBorder="1" applyAlignment="1" applyProtection="1">
      <alignment horizontal="left" vertical="center"/>
      <protection hidden="1"/>
    </xf>
    <xf numFmtId="3" fontId="5" fillId="34" borderId="10" xfId="85" applyNumberFormat="1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 quotePrefix="1">
      <alignment horizontal="left" vertical="center"/>
    </xf>
    <xf numFmtId="172" fontId="5" fillId="0" borderId="10" xfId="42" applyFont="1" applyFill="1" applyBorder="1" applyAlignment="1" applyProtection="1">
      <alignment horizontal="left" vertical="center"/>
      <protection/>
    </xf>
    <xf numFmtId="172" fontId="5" fillId="0" borderId="10" xfId="42" applyFont="1" applyFill="1" applyBorder="1" applyAlignment="1">
      <alignment horizontal="left" vertical="center"/>
    </xf>
    <xf numFmtId="173" fontId="5" fillId="0" borderId="10" xfId="42" applyNumberFormat="1" applyFont="1" applyFill="1" applyBorder="1" applyAlignment="1">
      <alignment horizontal="center" vertical="center"/>
    </xf>
    <xf numFmtId="173" fontId="5" fillId="0" borderId="10" xfId="42" applyNumberFormat="1" applyFont="1" applyFill="1" applyBorder="1" applyAlignment="1">
      <alignment horizontal="left" vertical="center" wrapText="1"/>
    </xf>
    <xf numFmtId="173" fontId="5" fillId="0" borderId="10" xfId="42" applyNumberFormat="1" applyFont="1" applyFill="1" applyBorder="1" applyAlignment="1">
      <alignment horizontal="left" vertical="center"/>
    </xf>
    <xf numFmtId="173" fontId="80" fillId="0" borderId="10" xfId="42" applyNumberFormat="1" applyFont="1" applyFill="1" applyBorder="1" applyAlignment="1">
      <alignment horizontal="center"/>
    </xf>
    <xf numFmtId="173" fontId="4" fillId="0" borderId="10" xfId="42" applyNumberFormat="1" applyFont="1" applyFill="1" applyBorder="1" applyAlignment="1" applyProtection="1">
      <alignment horizontal="left" vertical="center"/>
      <protection hidden="1"/>
    </xf>
    <xf numFmtId="173" fontId="5" fillId="0" borderId="10" xfId="42" applyNumberFormat="1" applyFont="1" applyFill="1" applyBorder="1" applyAlignment="1" applyProtection="1">
      <alignment horizontal="left" vertical="center"/>
      <protection hidden="1"/>
    </xf>
    <xf numFmtId="173" fontId="80" fillId="0" borderId="10" xfId="42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/>
    </xf>
    <xf numFmtId="3" fontId="5" fillId="34" borderId="10" xfId="85" applyNumberFormat="1" applyFont="1" applyFill="1" applyBorder="1" applyAlignment="1">
      <alignment wrapText="1"/>
      <protection/>
    </xf>
    <xf numFmtId="0" fontId="5" fillId="34" borderId="10" xfId="0" applyFont="1" applyFill="1" applyBorder="1" applyAlignment="1">
      <alignment horizontal="center" vertical="center"/>
    </xf>
    <xf numFmtId="3" fontId="79" fillId="34" borderId="10" xfId="0" applyNumberFormat="1" applyFont="1" applyFill="1" applyBorder="1" applyAlignment="1">
      <alignment horizontal="center" vertical="center"/>
    </xf>
    <xf numFmtId="172" fontId="5" fillId="34" borderId="10" xfId="42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/>
    </xf>
    <xf numFmtId="175" fontId="79" fillId="0" borderId="10" xfId="42" applyNumberFormat="1" applyFont="1" applyBorder="1" applyAlignment="1">
      <alignment horizontal="right"/>
    </xf>
    <xf numFmtId="172" fontId="5" fillId="34" borderId="11" xfId="42" applyFont="1" applyFill="1" applyBorder="1" applyAlignment="1" applyProtection="1">
      <alignment horizontal="left" vertical="center"/>
      <protection/>
    </xf>
    <xf numFmtId="0" fontId="79" fillId="0" borderId="11" xfId="0" applyFont="1" applyBorder="1" applyAlignment="1">
      <alignment horizontal="center" vertical="center"/>
    </xf>
    <xf numFmtId="175" fontId="79" fillId="0" borderId="11" xfId="42" applyNumberFormat="1" applyFont="1" applyBorder="1" applyAlignment="1">
      <alignment horizontal="right"/>
    </xf>
    <xf numFmtId="173" fontId="5" fillId="34" borderId="11" xfId="42" applyNumberFormat="1" applyFont="1" applyFill="1" applyBorder="1" applyAlignment="1">
      <alignment horizontal="left" vertical="center"/>
    </xf>
    <xf numFmtId="173" fontId="80" fillId="34" borderId="11" xfId="42" applyNumberFormat="1" applyFont="1" applyFill="1" applyBorder="1" applyAlignment="1" applyProtection="1">
      <alignment horizontal="center"/>
      <protection hidden="1"/>
    </xf>
    <xf numFmtId="173" fontId="4" fillId="34" borderId="11" xfId="42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center" vertical="center"/>
    </xf>
    <xf numFmtId="175" fontId="5" fillId="0" borderId="10" xfId="42" applyNumberFormat="1" applyFont="1" applyBorder="1" applyAlignment="1">
      <alignment horizontal="right"/>
    </xf>
    <xf numFmtId="175" fontId="5" fillId="34" borderId="10" xfId="42" applyNumberFormat="1" applyFont="1" applyFill="1" applyBorder="1" applyAlignment="1">
      <alignment horizontal="right"/>
    </xf>
    <xf numFmtId="0" fontId="79" fillId="0" borderId="10" xfId="0" applyFont="1" applyBorder="1" applyAlignment="1">
      <alignment/>
    </xf>
    <xf numFmtId="0" fontId="5" fillId="34" borderId="10" xfId="0" applyFont="1" applyFill="1" applyBorder="1" applyAlignment="1" quotePrefix="1">
      <alignment horizontal="left" vertical="center"/>
    </xf>
    <xf numFmtId="173" fontId="5" fillId="34" borderId="10" xfId="42" applyNumberFormat="1" applyFont="1" applyFill="1" applyBorder="1" applyAlignment="1" applyProtection="1">
      <alignment horizontal="left" vertical="center"/>
      <protection/>
    </xf>
    <xf numFmtId="175" fontId="80" fillId="34" borderId="10" xfId="42" applyNumberFormat="1" applyFont="1" applyFill="1" applyBorder="1" applyAlignment="1" applyProtection="1">
      <alignment horizontal="center"/>
      <protection/>
    </xf>
    <xf numFmtId="172" fontId="5" fillId="34" borderId="11" xfId="42" applyFont="1" applyFill="1" applyBorder="1" applyAlignment="1">
      <alignment horizontal="left" vertical="center"/>
    </xf>
    <xf numFmtId="173" fontId="5" fillId="34" borderId="11" xfId="42" applyNumberFormat="1" applyFont="1" applyFill="1" applyBorder="1" applyAlignment="1">
      <alignment horizontal="center" vertical="center"/>
    </xf>
    <xf numFmtId="173" fontId="5" fillId="34" borderId="11" xfId="42" applyNumberFormat="1" applyFont="1" applyFill="1" applyBorder="1" applyAlignment="1">
      <alignment horizontal="left" vertical="center" wrapText="1"/>
    </xf>
    <xf numFmtId="173" fontId="80" fillId="34" borderId="11" xfId="42" applyNumberFormat="1" applyFont="1" applyFill="1" applyBorder="1" applyAlignment="1">
      <alignment horizontal="center"/>
    </xf>
    <xf numFmtId="173" fontId="4" fillId="34" borderId="11" xfId="42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8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3" fontId="5" fillId="34" borderId="11" xfId="85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173" fontId="17" fillId="34" borderId="10" xfId="42" applyNumberFormat="1" applyFont="1" applyFill="1" applyBorder="1" applyAlignment="1">
      <alignment horizontal="left" vertical="center"/>
    </xf>
    <xf numFmtId="172" fontId="5" fillId="34" borderId="10" xfId="42" applyFont="1" applyFill="1" applyBorder="1" applyAlignment="1" applyProtection="1">
      <alignment horizontal="left" vertical="center" wrapText="1"/>
      <protection/>
    </xf>
    <xf numFmtId="173" fontId="82" fillId="34" borderId="10" xfId="42" applyNumberFormat="1" applyFont="1" applyFill="1" applyBorder="1" applyAlignment="1">
      <alignment horizontal="left" vertical="center"/>
    </xf>
    <xf numFmtId="172" fontId="5" fillId="34" borderId="16" xfId="42" applyFont="1" applyFill="1" applyBorder="1" applyAlignment="1">
      <alignment horizontal="left" vertical="center"/>
    </xf>
    <xf numFmtId="172" fontId="5" fillId="34" borderId="17" xfId="42" applyFont="1" applyFill="1" applyBorder="1" applyAlignment="1">
      <alignment horizontal="left" vertical="center"/>
    </xf>
    <xf numFmtId="173" fontId="5" fillId="34" borderId="18" xfId="42" applyNumberFormat="1" applyFont="1" applyFill="1" applyBorder="1" applyAlignment="1">
      <alignment horizontal="left" vertical="center"/>
    </xf>
    <xf numFmtId="173" fontId="5" fillId="34" borderId="18" xfId="42" applyNumberFormat="1" applyFont="1" applyFill="1" applyBorder="1" applyAlignment="1">
      <alignment horizontal="center" vertical="center"/>
    </xf>
    <xf numFmtId="172" fontId="5" fillId="34" borderId="10" xfId="42" applyFont="1" applyFill="1" applyBorder="1" applyAlignment="1">
      <alignment horizontal="left"/>
    </xf>
    <xf numFmtId="175" fontId="79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5" fillId="34" borderId="10" xfId="42" applyNumberFormat="1" applyFont="1" applyFill="1" applyBorder="1" applyAlignment="1" applyProtection="1">
      <alignment horizontal="left"/>
      <protection hidden="1"/>
    </xf>
    <xf numFmtId="173" fontId="5" fillId="33" borderId="10" xfId="42" applyNumberFormat="1" applyFont="1" applyFill="1" applyBorder="1" applyAlignment="1">
      <alignment horizontal="left" wrapText="1"/>
    </xf>
    <xf numFmtId="173" fontId="80" fillId="33" borderId="10" xfId="42" applyNumberFormat="1" applyFont="1" applyFill="1" applyBorder="1" applyAlignment="1">
      <alignment horizontal="center" wrapText="1"/>
    </xf>
    <xf numFmtId="3" fontId="18" fillId="33" borderId="12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 quotePrefix="1">
      <alignment horizontal="center"/>
    </xf>
    <xf numFmtId="172" fontId="5" fillId="34" borderId="10" xfId="42" applyFont="1" applyFill="1" applyBorder="1" applyAlignment="1" applyProtection="1">
      <alignment horizontal="left"/>
      <protection/>
    </xf>
    <xf numFmtId="172" fontId="5" fillId="34" borderId="10" xfId="42" applyFont="1" applyFill="1" applyBorder="1" applyAlignment="1" applyProtection="1">
      <alignment horizontal="left" wrapText="1"/>
      <protection hidden="1"/>
    </xf>
    <xf numFmtId="173" fontId="5" fillId="34" borderId="10" xfId="42" applyNumberFormat="1" applyFont="1" applyFill="1" applyBorder="1" applyAlignment="1" applyProtection="1">
      <alignment horizontal="right"/>
      <protection hidden="1"/>
    </xf>
    <xf numFmtId="173" fontId="5" fillId="34" borderId="10" xfId="42" applyNumberFormat="1" applyFont="1" applyFill="1" applyBorder="1" applyAlignment="1">
      <alignment/>
    </xf>
    <xf numFmtId="173" fontId="5" fillId="34" borderId="10" xfId="42" applyNumberFormat="1" applyFont="1" applyFill="1" applyBorder="1" applyAlignment="1">
      <alignment wrapText="1"/>
    </xf>
    <xf numFmtId="172" fontId="5" fillId="34" borderId="10" xfId="42" applyFont="1" applyFill="1" applyBorder="1" applyAlignment="1">
      <alignment horizontal="left" wrapText="1"/>
    </xf>
    <xf numFmtId="0" fontId="79" fillId="34" borderId="10" xfId="0" applyFont="1" applyFill="1" applyBorder="1" applyAlignment="1">
      <alignment wrapText="1"/>
    </xf>
    <xf numFmtId="0" fontId="79" fillId="0" borderId="10" xfId="0" applyFont="1" applyBorder="1" applyAlignment="1">
      <alignment wrapText="1"/>
    </xf>
    <xf numFmtId="0" fontId="5" fillId="34" borderId="19" xfId="69" applyFont="1" applyFill="1" applyBorder="1" applyAlignment="1">
      <alignment horizontal="center" vertical="center" wrapText="1"/>
      <protection/>
    </xf>
    <xf numFmtId="173" fontId="5" fillId="34" borderId="11" xfId="42" applyNumberFormat="1" applyFont="1" applyFill="1" applyBorder="1" applyAlignment="1">
      <alignment horizontal="right"/>
    </xf>
    <xf numFmtId="173" fontId="5" fillId="34" borderId="11" xfId="42" applyNumberFormat="1" applyFont="1" applyFill="1" applyBorder="1" applyAlignment="1" applyProtection="1">
      <alignment horizontal="right"/>
      <protection hidden="1"/>
    </xf>
    <xf numFmtId="173" fontId="5" fillId="34" borderId="11" xfId="42" applyNumberFormat="1" applyFont="1" applyFill="1" applyBorder="1" applyAlignment="1">
      <alignment/>
    </xf>
    <xf numFmtId="173" fontId="5" fillId="34" borderId="10" xfId="42" applyNumberFormat="1" applyFont="1" applyFill="1" applyBorder="1" applyAlignment="1">
      <alignment horizontal="center" wrapText="1"/>
    </xf>
    <xf numFmtId="173" fontId="5" fillId="34" borderId="10" xfId="42" applyNumberFormat="1" applyFont="1" applyFill="1" applyBorder="1" applyAlignment="1">
      <alignment horizontal="right" wrapText="1"/>
    </xf>
    <xf numFmtId="173" fontId="5" fillId="34" borderId="10" xfId="42" applyNumberFormat="1" applyFont="1" applyFill="1" applyBorder="1" applyAlignment="1">
      <alignment vertical="center" wrapText="1"/>
    </xf>
    <xf numFmtId="0" fontId="79" fillId="0" borderId="0" xfId="0" applyFont="1" applyAlignment="1">
      <alignment wrapText="1"/>
    </xf>
    <xf numFmtId="173" fontId="5" fillId="34" borderId="11" xfId="42" applyNumberFormat="1" applyFont="1" applyFill="1" applyBorder="1" applyAlignment="1">
      <alignment wrapText="1"/>
    </xf>
    <xf numFmtId="173" fontId="5" fillId="34" borderId="20" xfId="42" applyNumberFormat="1" applyFont="1" applyFill="1" applyBorder="1" applyAlignment="1">
      <alignment wrapText="1"/>
    </xf>
    <xf numFmtId="0" fontId="79" fillId="0" borderId="0" xfId="0" applyFont="1" applyBorder="1" applyAlignment="1">
      <alignment wrapText="1"/>
    </xf>
    <xf numFmtId="0" fontId="91" fillId="34" borderId="21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/>
    </xf>
    <xf numFmtId="0" fontId="91" fillId="34" borderId="21" xfId="0" applyFont="1" applyFill="1" applyBorder="1" applyAlignment="1">
      <alignment vertical="center"/>
    </xf>
    <xf numFmtId="0" fontId="91" fillId="34" borderId="10" xfId="0" applyFont="1" applyFill="1" applyBorder="1" applyAlignment="1">
      <alignment horizontal="center" vertical="center"/>
    </xf>
    <xf numFmtId="173" fontId="5" fillId="33" borderId="22" xfId="42" applyNumberFormat="1" applyFont="1" applyFill="1" applyBorder="1" applyAlignment="1">
      <alignment horizontal="center" wrapText="1"/>
    </xf>
    <xf numFmtId="173" fontId="92" fillId="33" borderId="10" xfId="42" applyNumberFormat="1" applyFont="1" applyFill="1" applyBorder="1" applyAlignment="1">
      <alignment horizontal="left"/>
    </xf>
    <xf numFmtId="173" fontId="5" fillId="33" borderId="16" xfId="42" applyNumberFormat="1" applyFont="1" applyFill="1" applyBorder="1" applyAlignment="1">
      <alignment horizontal="left"/>
    </xf>
    <xf numFmtId="173" fontId="5" fillId="33" borderId="16" xfId="42" applyNumberFormat="1" applyFont="1" applyFill="1" applyBorder="1" applyAlignment="1">
      <alignment horizontal="center"/>
    </xf>
    <xf numFmtId="173" fontId="4" fillId="34" borderId="10" xfId="42" applyNumberFormat="1" applyFont="1" applyFill="1" applyBorder="1" applyAlignment="1">
      <alignment/>
    </xf>
    <xf numFmtId="3" fontId="5" fillId="33" borderId="11" xfId="0" applyNumberFormat="1" applyFont="1" applyFill="1" applyBorder="1" applyAlignment="1" quotePrefix="1">
      <alignment horizontal="center"/>
    </xf>
    <xf numFmtId="173" fontId="5" fillId="33" borderId="11" xfId="42" applyNumberFormat="1" applyFont="1" applyFill="1" applyBorder="1" applyAlignment="1" applyProtection="1">
      <alignment horizontal="left"/>
      <protection hidden="1"/>
    </xf>
    <xf numFmtId="173" fontId="5" fillId="33" borderId="17" xfId="42" applyNumberFormat="1" applyFont="1" applyFill="1" applyBorder="1" applyAlignment="1">
      <alignment horizontal="left"/>
    </xf>
    <xf numFmtId="173" fontId="5" fillId="33" borderId="17" xfId="42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 applyProtection="1">
      <alignment horizontal="left"/>
      <protection hidden="1"/>
    </xf>
    <xf numFmtId="3" fontId="5" fillId="34" borderId="10" xfId="0" applyNumberFormat="1" applyFont="1" applyFill="1" applyBorder="1" applyAlignment="1">
      <alignment horizontal="center"/>
    </xf>
    <xf numFmtId="173" fontId="5" fillId="34" borderId="22" xfId="42" applyNumberFormat="1" applyFont="1" applyFill="1" applyBorder="1" applyAlignment="1">
      <alignment horizontal="center" wrapText="1"/>
    </xf>
    <xf numFmtId="173" fontId="92" fillId="34" borderId="10" xfId="42" applyNumberFormat="1" applyFont="1" applyFill="1" applyBorder="1" applyAlignment="1">
      <alignment horizontal="left"/>
    </xf>
    <xf numFmtId="173" fontId="5" fillId="34" borderId="16" xfId="42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 quotePrefix="1">
      <alignment horizontal="center"/>
    </xf>
    <xf numFmtId="3" fontId="5" fillId="34" borderId="11" xfId="0" applyNumberFormat="1" applyFont="1" applyFill="1" applyBorder="1" applyAlignment="1">
      <alignment horizontal="center"/>
    </xf>
    <xf numFmtId="173" fontId="5" fillId="34" borderId="11" xfId="42" applyNumberFormat="1" applyFont="1" applyFill="1" applyBorder="1" applyAlignment="1">
      <alignment/>
    </xf>
    <xf numFmtId="173" fontId="5" fillId="34" borderId="11" xfId="42" applyNumberFormat="1" applyFont="1" applyFill="1" applyBorder="1" applyAlignment="1" applyProtection="1">
      <alignment horizontal="left"/>
      <protection hidden="1"/>
    </xf>
    <xf numFmtId="173" fontId="5" fillId="34" borderId="23" xfId="42" applyNumberFormat="1" applyFont="1" applyFill="1" applyBorder="1" applyAlignment="1">
      <alignment horizontal="center" wrapText="1"/>
    </xf>
    <xf numFmtId="173" fontId="5" fillId="34" borderId="17" xfId="42" applyNumberFormat="1" applyFont="1" applyFill="1" applyBorder="1" applyAlignment="1">
      <alignment horizontal="left"/>
    </xf>
    <xf numFmtId="173" fontId="5" fillId="34" borderId="17" xfId="42" applyNumberFormat="1" applyFont="1" applyFill="1" applyBorder="1" applyAlignment="1">
      <alignment horizontal="center"/>
    </xf>
    <xf numFmtId="173" fontId="4" fillId="34" borderId="11" xfId="42" applyNumberFormat="1" applyFont="1" applyFill="1" applyBorder="1" applyAlignment="1">
      <alignment horizontal="right" vertical="center"/>
    </xf>
    <xf numFmtId="3" fontId="12" fillId="34" borderId="18" xfId="0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>
      <alignment horizontal="left" vertical="center"/>
    </xf>
    <xf numFmtId="173" fontId="5" fillId="34" borderId="11" xfId="42" applyNumberFormat="1" applyFont="1" applyFill="1" applyBorder="1" applyAlignment="1">
      <alignment horizontal="center" wrapText="1"/>
    </xf>
    <xf numFmtId="173" fontId="92" fillId="34" borderId="11" xfId="42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vertical="center"/>
    </xf>
    <xf numFmtId="172" fontId="4" fillId="34" borderId="0" xfId="42" applyFont="1" applyFill="1" applyBorder="1" applyAlignment="1">
      <alignment horizontal="left" vertical="center"/>
    </xf>
    <xf numFmtId="173" fontId="4" fillId="34" borderId="0" xfId="42" applyNumberFormat="1" applyFont="1" applyFill="1" applyBorder="1" applyAlignment="1">
      <alignment horizontal="center" vertical="center" wrapText="1"/>
    </xf>
    <xf numFmtId="173" fontId="4" fillId="34" borderId="0" xfId="42" applyNumberFormat="1" applyFont="1" applyFill="1" applyBorder="1" applyAlignment="1">
      <alignment horizontal="left" vertical="center" wrapText="1"/>
    </xf>
    <xf numFmtId="173" fontId="80" fillId="34" borderId="0" xfId="42" applyNumberFormat="1" applyFont="1" applyFill="1" applyBorder="1" applyAlignment="1">
      <alignment horizontal="center" wrapText="1"/>
    </xf>
    <xf numFmtId="173" fontId="4" fillId="34" borderId="0" xfId="42" applyNumberFormat="1" applyFont="1" applyFill="1" applyBorder="1" applyAlignment="1">
      <alignment horizontal="left" wrapText="1"/>
    </xf>
    <xf numFmtId="173" fontId="5" fillId="34" borderId="10" xfId="42" applyNumberFormat="1" applyFont="1" applyFill="1" applyBorder="1" applyAlignment="1" applyProtection="1">
      <alignment horizontal="center" vertical="center"/>
      <protection hidden="1"/>
    </xf>
    <xf numFmtId="3" fontId="12" fillId="34" borderId="24" xfId="0" applyNumberFormat="1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 horizontal="left"/>
    </xf>
    <xf numFmtId="173" fontId="3" fillId="33" borderId="0" xfId="42" applyNumberFormat="1" applyFont="1" applyFill="1" applyBorder="1" applyAlignment="1">
      <alignment horizontal="right" vertical="center" wrapText="1"/>
    </xf>
    <xf numFmtId="3" fontId="18" fillId="34" borderId="12" xfId="0" applyNumberFormat="1" applyFont="1" applyFill="1" applyBorder="1" applyAlignment="1">
      <alignment horizontal="left" wrapText="1"/>
    </xf>
    <xf numFmtId="3" fontId="18" fillId="33" borderId="13" xfId="0" applyNumberFormat="1" applyFont="1" applyFill="1" applyBorder="1" applyAlignment="1">
      <alignment horizontal="center" wrapText="1"/>
    </xf>
    <xf numFmtId="3" fontId="18" fillId="33" borderId="12" xfId="0" applyNumberFormat="1" applyFont="1" applyFill="1" applyBorder="1" applyAlignment="1">
      <alignment horizontal="center" wrapText="1"/>
    </xf>
    <xf numFmtId="3" fontId="18" fillId="33" borderId="14" xfId="0" applyNumberFormat="1" applyFont="1" applyFill="1" applyBorder="1" applyAlignment="1">
      <alignment wrapText="1"/>
    </xf>
    <xf numFmtId="3" fontId="18" fillId="33" borderId="15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 quotePrefix="1">
      <alignment horizontal="center" wrapText="1"/>
    </xf>
    <xf numFmtId="172" fontId="5" fillId="34" borderId="10" xfId="42" applyFont="1" applyFill="1" applyBorder="1" applyAlignment="1">
      <alignment horizontal="center" wrapText="1"/>
    </xf>
    <xf numFmtId="173" fontId="5" fillId="34" borderId="10" xfId="42" applyNumberFormat="1" applyFont="1" applyFill="1" applyBorder="1" applyAlignment="1" applyProtection="1">
      <alignment horizontal="center" wrapText="1"/>
      <protection hidden="1"/>
    </xf>
    <xf numFmtId="173" fontId="5" fillId="34" borderId="10" xfId="42" applyNumberFormat="1" applyFont="1" applyFill="1" applyBorder="1" applyAlignment="1" applyProtection="1">
      <alignment horizontal="right" wrapText="1"/>
      <protection hidden="1"/>
    </xf>
    <xf numFmtId="173" fontId="5" fillId="34" borderId="10" xfId="42" applyNumberFormat="1" applyFont="1" applyFill="1" applyBorder="1" applyAlignment="1" applyProtection="1">
      <alignment wrapText="1"/>
      <protection hidden="1"/>
    </xf>
    <xf numFmtId="173" fontId="5" fillId="34" borderId="10" xfId="42" applyNumberFormat="1" applyFont="1" applyFill="1" applyBorder="1" applyAlignment="1" applyProtection="1">
      <alignment vertical="center" wrapText="1"/>
      <protection hidden="1"/>
    </xf>
    <xf numFmtId="0" fontId="79" fillId="34" borderId="0" xfId="0" applyFont="1" applyFill="1" applyAlignment="1">
      <alignment wrapText="1"/>
    </xf>
    <xf numFmtId="0" fontId="79" fillId="34" borderId="19" xfId="0" applyFont="1" applyFill="1" applyBorder="1" applyAlignment="1">
      <alignment wrapText="1"/>
    </xf>
    <xf numFmtId="173" fontId="5" fillId="34" borderId="19" xfId="42" applyNumberFormat="1" applyFont="1" applyFill="1" applyBorder="1" applyAlignment="1" applyProtection="1">
      <alignment vertical="center" wrapText="1"/>
      <protection hidden="1"/>
    </xf>
    <xf numFmtId="173" fontId="5" fillId="34" borderId="19" xfId="42" applyNumberFormat="1" applyFont="1" applyFill="1" applyBorder="1" applyAlignment="1">
      <alignment vertical="center" wrapText="1"/>
    </xf>
    <xf numFmtId="173" fontId="5" fillId="34" borderId="19" xfId="42" applyNumberFormat="1" applyFont="1" applyFill="1" applyBorder="1" applyAlignment="1">
      <alignment horizontal="right" wrapText="1"/>
    </xf>
    <xf numFmtId="173" fontId="5" fillId="34" borderId="19" xfId="42" applyNumberFormat="1" applyFont="1" applyFill="1" applyBorder="1" applyAlignment="1" applyProtection="1">
      <alignment horizontal="center" wrapText="1"/>
      <protection hidden="1"/>
    </xf>
    <xf numFmtId="173" fontId="5" fillId="34" borderId="19" xfId="42" applyNumberFormat="1" applyFont="1" applyFill="1" applyBorder="1" applyAlignment="1" applyProtection="1">
      <alignment horizontal="right" wrapText="1"/>
      <protection hidden="1"/>
    </xf>
    <xf numFmtId="173" fontId="5" fillId="34" borderId="19" xfId="42" applyNumberFormat="1" applyFont="1" applyFill="1" applyBorder="1" applyAlignment="1">
      <alignment wrapText="1"/>
    </xf>
    <xf numFmtId="0" fontId="79" fillId="34" borderId="10" xfId="0" applyFont="1" applyFill="1" applyBorder="1" applyAlignment="1">
      <alignment vertical="top" wrapText="1"/>
    </xf>
    <xf numFmtId="0" fontId="79" fillId="34" borderId="11" xfId="0" applyFont="1" applyFill="1" applyBorder="1" applyAlignment="1">
      <alignment wrapText="1"/>
    </xf>
    <xf numFmtId="0" fontId="79" fillId="34" borderId="11" xfId="0" applyFont="1" applyFill="1" applyBorder="1" applyAlignment="1">
      <alignment vertical="top" wrapText="1"/>
    </xf>
    <xf numFmtId="173" fontId="5" fillId="34" borderId="11" xfId="42" applyNumberFormat="1" applyFont="1" applyFill="1" applyBorder="1" applyAlignment="1" applyProtection="1">
      <alignment vertical="center" wrapText="1"/>
      <protection hidden="1"/>
    </xf>
    <xf numFmtId="173" fontId="5" fillId="34" borderId="11" xfId="42" applyNumberFormat="1" applyFont="1" applyFill="1" applyBorder="1" applyAlignment="1">
      <alignment vertical="center" wrapText="1"/>
    </xf>
    <xf numFmtId="173" fontId="5" fillId="34" borderId="11" xfId="42" applyNumberFormat="1" applyFont="1" applyFill="1" applyBorder="1" applyAlignment="1">
      <alignment horizontal="right" wrapText="1"/>
    </xf>
    <xf numFmtId="173" fontId="5" fillId="34" borderId="11" xfId="42" applyNumberFormat="1" applyFont="1" applyFill="1" applyBorder="1" applyAlignment="1" applyProtection="1">
      <alignment horizontal="center" wrapText="1"/>
      <protection hidden="1"/>
    </xf>
    <xf numFmtId="173" fontId="5" fillId="34" borderId="11" xfId="42" applyNumberFormat="1" applyFont="1" applyFill="1" applyBorder="1" applyAlignment="1" applyProtection="1">
      <alignment horizontal="right" wrapText="1"/>
      <protection hidden="1"/>
    </xf>
    <xf numFmtId="173" fontId="92" fillId="34" borderId="10" xfId="42" applyNumberFormat="1" applyFont="1" applyFill="1" applyBorder="1" applyAlignment="1">
      <alignment vertical="center" wrapText="1"/>
    </xf>
    <xf numFmtId="173" fontId="5" fillId="34" borderId="21" xfId="42" applyNumberFormat="1" applyFont="1" applyFill="1" applyBorder="1" applyAlignment="1">
      <alignment horizontal="center" wrapText="1"/>
    </xf>
    <xf numFmtId="0" fontId="5" fillId="34" borderId="10" xfId="0" applyFont="1" applyFill="1" applyBorder="1" applyAlignment="1" quotePrefix="1">
      <alignment horizontal="center" wrapText="1"/>
    </xf>
    <xf numFmtId="173" fontId="5" fillId="34" borderId="10" xfId="42" applyNumberFormat="1" applyFont="1" applyFill="1" applyBorder="1" applyAlignment="1">
      <alignment horizontal="right" vertical="center" wrapText="1"/>
    </xf>
    <xf numFmtId="173" fontId="5" fillId="34" borderId="10" xfId="42" applyNumberFormat="1" applyFont="1" applyFill="1" applyBorder="1" applyAlignment="1" applyProtection="1">
      <alignment horizontal="left" wrapText="1"/>
      <protection hidden="1"/>
    </xf>
    <xf numFmtId="0" fontId="79" fillId="34" borderId="10" xfId="0" applyFont="1" applyFill="1" applyBorder="1" applyAlignment="1">
      <alignment vertical="center" wrapText="1"/>
    </xf>
    <xf numFmtId="172" fontId="5" fillId="34" borderId="11" xfId="42" applyFont="1" applyFill="1" applyBorder="1" applyAlignment="1">
      <alignment horizontal="center" wrapText="1"/>
    </xf>
    <xf numFmtId="172" fontId="5" fillId="34" borderId="11" xfId="42" applyFont="1" applyFill="1" applyBorder="1" applyAlignment="1" applyProtection="1">
      <alignment horizontal="left" wrapText="1"/>
      <protection hidden="1"/>
    </xf>
    <xf numFmtId="172" fontId="5" fillId="34" borderId="20" xfId="42" applyFont="1" applyFill="1" applyBorder="1" applyAlignment="1">
      <alignment horizontal="center" wrapText="1"/>
    </xf>
    <xf numFmtId="172" fontId="5" fillId="34" borderId="20" xfId="42" applyFont="1" applyFill="1" applyBorder="1" applyAlignment="1" applyProtection="1">
      <alignment horizontal="left" wrapText="1"/>
      <protection hidden="1"/>
    </xf>
    <xf numFmtId="173" fontId="5" fillId="34" borderId="20" xfId="42" applyNumberFormat="1" applyFont="1" applyFill="1" applyBorder="1" applyAlignment="1">
      <alignment horizontal="center" wrapText="1"/>
    </xf>
    <xf numFmtId="173" fontId="5" fillId="34" borderId="20" xfId="42" applyNumberFormat="1" applyFont="1" applyFill="1" applyBorder="1" applyAlignment="1">
      <alignment horizontal="right" wrapText="1"/>
    </xf>
    <xf numFmtId="173" fontId="5" fillId="34" borderId="20" xfId="42" applyNumberFormat="1" applyFont="1" applyFill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79" fillId="0" borderId="0" xfId="0" applyFont="1" applyAlignment="1">
      <alignment horizontal="center" wrapText="1"/>
    </xf>
    <xf numFmtId="173" fontId="79" fillId="0" borderId="0" xfId="0" applyNumberFormat="1" applyFont="1" applyAlignment="1">
      <alignment horizontal="center" wrapText="1"/>
    </xf>
    <xf numFmtId="3" fontId="18" fillId="33" borderId="14" xfId="0" applyNumberFormat="1" applyFont="1" applyFill="1" applyBorder="1" applyAlignment="1">
      <alignment horizontal="center" wrapText="1"/>
    </xf>
    <xf numFmtId="173" fontId="5" fillId="34" borderId="19" xfId="42" applyNumberFormat="1" applyFont="1" applyFill="1" applyBorder="1" applyAlignment="1">
      <alignment horizontal="center" wrapText="1"/>
    </xf>
    <xf numFmtId="172" fontId="82" fillId="0" borderId="12" xfId="42" applyFont="1" applyBorder="1" applyAlignment="1">
      <alignment wrapText="1"/>
    </xf>
    <xf numFmtId="3" fontId="3" fillId="33" borderId="0" xfId="0" applyNumberFormat="1" applyFont="1" applyFill="1" applyBorder="1" applyAlignment="1">
      <alignment horizontal="center" vertical="center" wrapText="1"/>
    </xf>
    <xf numFmtId="172" fontId="3" fillId="33" borderId="0" xfId="42" applyFont="1" applyFill="1" applyBorder="1" applyAlignment="1">
      <alignment horizontal="center" vertical="center" wrapText="1"/>
    </xf>
    <xf numFmtId="173" fontId="3" fillId="33" borderId="0" xfId="42" applyNumberFormat="1" applyFont="1" applyFill="1" applyBorder="1" applyAlignment="1">
      <alignment horizontal="center" vertical="center" wrapText="1"/>
    </xf>
    <xf numFmtId="173" fontId="3" fillId="33" borderId="0" xfId="42" applyNumberFormat="1" applyFont="1" applyFill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0" fontId="94" fillId="0" borderId="0" xfId="0" applyFont="1" applyAlignment="1">
      <alignment/>
    </xf>
    <xf numFmtId="172" fontId="2" fillId="33" borderId="0" xfId="42" applyFont="1" applyFill="1" applyBorder="1" applyAlignment="1">
      <alignment horizontal="center" vertical="center" wrapText="1"/>
    </xf>
    <xf numFmtId="172" fontId="5" fillId="34" borderId="10" xfId="42" applyFont="1" applyFill="1" applyBorder="1" applyAlignment="1" applyProtection="1">
      <alignment horizontal="left" vertical="center" wrapText="1"/>
      <protection hidden="1"/>
    </xf>
    <xf numFmtId="172" fontId="17" fillId="34" borderId="10" xfId="42" applyFont="1" applyFill="1" applyBorder="1" applyAlignment="1">
      <alignment horizontal="left" vertical="center" wrapText="1"/>
    </xf>
    <xf numFmtId="172" fontId="5" fillId="0" borderId="10" xfId="42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172" fontId="5" fillId="34" borderId="11" xfId="42" applyFont="1" applyFill="1" applyBorder="1" applyAlignment="1" applyProtection="1">
      <alignment horizontal="left" vertical="center" wrapText="1"/>
      <protection hidden="1"/>
    </xf>
    <xf numFmtId="0" fontId="5" fillId="34" borderId="10" xfId="0" applyFont="1" applyFill="1" applyBorder="1" applyAlignment="1">
      <alignment vertical="center" wrapText="1"/>
    </xf>
    <xf numFmtId="172" fontId="5" fillId="0" borderId="10" xfId="42" applyFont="1" applyFill="1" applyBorder="1" applyAlignment="1" applyProtection="1">
      <alignment horizontal="left" vertical="center" wrapText="1"/>
      <protection hidden="1"/>
    </xf>
    <xf numFmtId="172" fontId="17" fillId="34" borderId="10" xfId="42" applyFont="1" applyFill="1" applyBorder="1" applyAlignment="1" applyProtection="1">
      <alignment horizontal="left" vertical="center" wrapText="1"/>
      <protection hidden="1"/>
    </xf>
    <xf numFmtId="0" fontId="79" fillId="0" borderId="10" xfId="0" applyFont="1" applyBorder="1" applyAlignment="1">
      <alignment horizontal="left" wrapText="1"/>
    </xf>
    <xf numFmtId="0" fontId="79" fillId="34" borderId="0" xfId="0" applyFont="1" applyFill="1" applyBorder="1" applyAlignment="1">
      <alignment vertical="center" wrapText="1"/>
    </xf>
    <xf numFmtId="0" fontId="88" fillId="34" borderId="0" xfId="0" applyFont="1" applyFill="1" applyBorder="1" applyAlignment="1">
      <alignment vertical="center" wrapText="1"/>
    </xf>
    <xf numFmtId="3" fontId="12" fillId="34" borderId="0" xfId="0" applyNumberFormat="1" applyFont="1" applyFill="1" applyBorder="1" applyAlignment="1">
      <alignment horizontal="center" vertical="center" wrapText="1"/>
    </xf>
    <xf numFmtId="173" fontId="5" fillId="0" borderId="10" xfId="42" applyNumberFormat="1" applyFont="1" applyBorder="1" applyAlignment="1">
      <alignment wrapText="1"/>
    </xf>
    <xf numFmtId="0" fontId="78" fillId="0" borderId="0" xfId="0" applyFont="1" applyAlignment="1">
      <alignment wrapText="1"/>
    </xf>
    <xf numFmtId="172" fontId="2" fillId="34" borderId="0" xfId="42" applyFont="1" applyFill="1" applyBorder="1" applyAlignment="1">
      <alignment horizontal="left" vertical="center" wrapText="1"/>
    </xf>
    <xf numFmtId="0" fontId="79" fillId="34" borderId="0" xfId="0" applyFont="1" applyFill="1" applyAlignment="1">
      <alignment horizontal="left" wrapText="1"/>
    </xf>
    <xf numFmtId="173" fontId="5" fillId="34" borderId="10" xfId="42" applyNumberFormat="1" applyFont="1" applyFill="1" applyBorder="1" applyAlignment="1" applyProtection="1">
      <alignment horizontal="left" wrapText="1"/>
      <protection/>
    </xf>
    <xf numFmtId="172" fontId="3" fillId="33" borderId="0" xfId="42" applyFont="1" applyFill="1" applyBorder="1" applyAlignment="1">
      <alignment horizontal="center" vertical="center"/>
    </xf>
    <xf numFmtId="172" fontId="5" fillId="34" borderId="10" xfId="42" applyFont="1" applyFill="1" applyBorder="1" applyAlignment="1" applyProtection="1">
      <alignment horizontal="left"/>
      <protection hidden="1"/>
    </xf>
    <xf numFmtId="172" fontId="5" fillId="34" borderId="10" xfId="42" applyFont="1" applyFill="1" applyBorder="1" applyAlignment="1">
      <alignment/>
    </xf>
    <xf numFmtId="172" fontId="17" fillId="34" borderId="10" xfId="42" applyFont="1" applyFill="1" applyBorder="1" applyAlignment="1" applyProtection="1">
      <alignment/>
      <protection hidden="1"/>
    </xf>
    <xf numFmtId="0" fontId="79" fillId="34" borderId="10" xfId="0" applyFont="1" applyFill="1" applyBorder="1" applyAlignment="1">
      <alignment/>
    </xf>
    <xf numFmtId="0" fontId="79" fillId="0" borderId="10" xfId="0" applyFont="1" applyBorder="1" applyAlignment="1">
      <alignment/>
    </xf>
    <xf numFmtId="0" fontId="5" fillId="34" borderId="19" xfId="71" applyFont="1" applyFill="1" applyBorder="1" applyAlignment="1">
      <alignment vertical="center"/>
      <protection/>
    </xf>
    <xf numFmtId="0" fontId="5" fillId="34" borderId="10" xfId="73" applyFont="1" applyFill="1" applyBorder="1" applyAlignment="1">
      <alignment vertical="center"/>
      <protection/>
    </xf>
    <xf numFmtId="0" fontId="5" fillId="34" borderId="10" xfId="75" applyFont="1" applyFill="1" applyBorder="1" applyAlignment="1">
      <alignment horizontal="left" vertical="center"/>
      <protection/>
    </xf>
    <xf numFmtId="0" fontId="5" fillId="34" borderId="10" xfId="77" applyFont="1" applyFill="1" applyBorder="1" applyAlignment="1">
      <alignment horizontal="left" vertical="center"/>
      <protection/>
    </xf>
    <xf numFmtId="0" fontId="5" fillId="34" borderId="10" xfId="79" applyFont="1" applyFill="1" applyBorder="1" applyAlignment="1">
      <alignment vertical="center"/>
      <protection/>
    </xf>
    <xf numFmtId="0" fontId="5" fillId="34" borderId="10" xfId="81" applyFont="1" applyFill="1" applyBorder="1" applyAlignment="1">
      <alignment vertical="center"/>
      <protection/>
    </xf>
    <xf numFmtId="0" fontId="5" fillId="34" borderId="10" xfId="83" applyFont="1" applyFill="1" applyBorder="1" applyAlignment="1">
      <alignment horizontal="left" vertical="center"/>
      <protection/>
    </xf>
    <xf numFmtId="0" fontId="5" fillId="34" borderId="10" xfId="59" applyFont="1" applyFill="1" applyBorder="1" applyAlignment="1">
      <alignment vertical="center"/>
      <protection/>
    </xf>
    <xf numFmtId="0" fontId="5" fillId="34" borderId="10" xfId="61" applyFont="1" applyFill="1" applyBorder="1" applyAlignment="1">
      <alignment horizontal="left" vertical="center"/>
      <protection/>
    </xf>
    <xf numFmtId="0" fontId="5" fillId="34" borderId="11" xfId="61" applyFont="1" applyFill="1" applyBorder="1" applyAlignment="1">
      <alignment horizontal="left" vertical="center"/>
      <protection/>
    </xf>
    <xf numFmtId="0" fontId="5" fillId="34" borderId="11" xfId="62" applyFont="1" applyFill="1" applyBorder="1" applyAlignment="1">
      <alignment vertical="center"/>
      <protection/>
    </xf>
    <xf numFmtId="172" fontId="5" fillId="34" borderId="10" xfId="42" applyFont="1" applyFill="1" applyBorder="1" applyAlignment="1">
      <alignment vertical="center"/>
    </xf>
    <xf numFmtId="172" fontId="17" fillId="34" borderId="10" xfId="42" applyFont="1" applyFill="1" applyBorder="1" applyAlignment="1">
      <alignment/>
    </xf>
    <xf numFmtId="172" fontId="5" fillId="34" borderId="10" xfId="42" applyFont="1" applyFill="1" applyBorder="1" applyAlignment="1" applyProtection="1">
      <alignment horizontal="center"/>
      <protection/>
    </xf>
    <xf numFmtId="0" fontId="79" fillId="0" borderId="0" xfId="0" applyFont="1" applyAlignment="1">
      <alignment/>
    </xf>
    <xf numFmtId="0" fontId="79" fillId="0" borderId="11" xfId="0" applyFont="1" applyBorder="1" applyAlignment="1">
      <alignment/>
    </xf>
    <xf numFmtId="0" fontId="79" fillId="0" borderId="0" xfId="0" applyFont="1" applyBorder="1" applyAlignment="1">
      <alignment/>
    </xf>
    <xf numFmtId="0" fontId="83" fillId="0" borderId="0" xfId="0" applyFont="1" applyAlignment="1">
      <alignment horizontal="left"/>
    </xf>
    <xf numFmtId="3" fontId="80" fillId="33" borderId="12" xfId="0" applyNumberFormat="1" applyFont="1" applyFill="1" applyBorder="1" applyAlignment="1">
      <alignment horizontal="center" vertical="center" wrapText="1"/>
    </xf>
    <xf numFmtId="173" fontId="92" fillId="34" borderId="10" xfId="42" applyNumberFormat="1" applyFont="1" applyFill="1" applyBorder="1" applyAlignment="1">
      <alignment horizontal="center" vertical="center" wrapText="1"/>
    </xf>
    <xf numFmtId="173" fontId="92" fillId="34" borderId="10" xfId="42" applyNumberFormat="1" applyFont="1" applyFill="1" applyBorder="1" applyAlignment="1" applyProtection="1">
      <alignment horizontal="center" vertical="center" wrapText="1"/>
      <protection hidden="1"/>
    </xf>
    <xf numFmtId="173" fontId="92" fillId="34" borderId="19" xfId="42" applyNumberFormat="1" applyFont="1" applyFill="1" applyBorder="1" applyAlignment="1">
      <alignment horizontal="center" vertical="center" wrapText="1"/>
    </xf>
    <xf numFmtId="173" fontId="92" fillId="34" borderId="11" xfId="42" applyNumberFormat="1" applyFont="1" applyFill="1" applyBorder="1" applyAlignment="1">
      <alignment horizontal="center" vertical="center" wrapText="1"/>
    </xf>
    <xf numFmtId="173" fontId="92" fillId="34" borderId="20" xfId="42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172" fontId="78" fillId="0" borderId="0" xfId="42" applyFont="1" applyAlignment="1">
      <alignment/>
    </xf>
    <xf numFmtId="3" fontId="12" fillId="34" borderId="0" xfId="0" applyNumberFormat="1" applyFont="1" applyFill="1" applyBorder="1" applyAlignment="1">
      <alignment horizontal="center" vertical="center"/>
    </xf>
    <xf numFmtId="173" fontId="5" fillId="34" borderId="10" xfId="42" applyNumberFormat="1" applyFont="1" applyFill="1" applyBorder="1" applyAlignment="1">
      <alignment horizontal="right"/>
    </xf>
    <xf numFmtId="173" fontId="4" fillId="34" borderId="10" xfId="42" applyNumberFormat="1" applyFont="1" applyFill="1" applyBorder="1" applyAlignment="1">
      <alignment horizontal="right" vertical="center"/>
    </xf>
    <xf numFmtId="0" fontId="5" fillId="34" borderId="10" xfId="69" applyFont="1" applyFill="1" applyBorder="1" applyAlignment="1">
      <alignment horizontal="center" vertical="center" wrapText="1"/>
      <protection/>
    </xf>
    <xf numFmtId="173" fontId="5" fillId="34" borderId="11" xfId="42" applyNumberFormat="1" applyFont="1" applyFill="1" applyBorder="1" applyAlignment="1">
      <alignment horizontal="right"/>
    </xf>
    <xf numFmtId="173" fontId="5" fillId="34" borderId="10" xfId="42" applyNumberFormat="1" applyFont="1" applyFill="1" applyBorder="1" applyAlignment="1">
      <alignment horizontal="right" wrapText="1"/>
    </xf>
    <xf numFmtId="173" fontId="92" fillId="33" borderId="10" xfId="42" applyNumberFormat="1" applyFont="1" applyFill="1" applyBorder="1" applyAlignment="1">
      <alignment horizontal="left"/>
    </xf>
    <xf numFmtId="173" fontId="5" fillId="34" borderId="22" xfId="42" applyNumberFormat="1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center"/>
    </xf>
    <xf numFmtId="173" fontId="5" fillId="34" borderId="17" xfId="42" applyNumberFormat="1" applyFont="1" applyFill="1" applyBorder="1" applyAlignment="1">
      <alignment horizontal="left"/>
    </xf>
    <xf numFmtId="173" fontId="5" fillId="34" borderId="17" xfId="42" applyNumberFormat="1" applyFont="1" applyFill="1" applyBorder="1" applyAlignment="1">
      <alignment horizontal="center"/>
    </xf>
    <xf numFmtId="173" fontId="4" fillId="34" borderId="11" xfId="42" applyNumberFormat="1" applyFont="1" applyFill="1" applyBorder="1" applyAlignment="1">
      <alignment horizontal="right" vertical="center"/>
    </xf>
    <xf numFmtId="173" fontId="5" fillId="34" borderId="16" xfId="42" applyNumberFormat="1" applyFont="1" applyFill="1" applyBorder="1" applyAlignment="1">
      <alignment horizontal="right" wrapText="1"/>
    </xf>
    <xf numFmtId="172" fontId="5" fillId="13" borderId="10" xfId="42" applyFont="1" applyFill="1" applyBorder="1" applyAlignment="1" applyProtection="1">
      <alignment horizontal="left" vertical="center" wrapText="1"/>
      <protection/>
    </xf>
    <xf numFmtId="172" fontId="17" fillId="13" borderId="10" xfId="42" applyFont="1" applyFill="1" applyBorder="1" applyAlignment="1">
      <alignment horizontal="left" vertical="center" wrapText="1"/>
    </xf>
    <xf numFmtId="172" fontId="5" fillId="13" borderId="10" xfId="42" applyFont="1" applyFill="1" applyBorder="1" applyAlignment="1">
      <alignment horizontal="left" vertical="center" wrapText="1"/>
    </xf>
    <xf numFmtId="3" fontId="5" fillId="13" borderId="10" xfId="53" applyNumberFormat="1" applyFont="1" applyFill="1" applyBorder="1" applyAlignment="1" applyProtection="1">
      <alignment horizontal="left" vertical="center" wrapText="1"/>
      <protection/>
    </xf>
    <xf numFmtId="0" fontId="5" fillId="13" borderId="10" xfId="0" applyFont="1" applyFill="1" applyBorder="1" applyAlignment="1">
      <alignment wrapText="1"/>
    </xf>
    <xf numFmtId="0" fontId="79" fillId="13" borderId="10" xfId="0" applyFont="1" applyFill="1" applyBorder="1" applyAlignment="1">
      <alignment wrapText="1"/>
    </xf>
    <xf numFmtId="0" fontId="79" fillId="13" borderId="11" xfId="0" applyFont="1" applyFill="1" applyBorder="1" applyAlignment="1">
      <alignment wrapText="1"/>
    </xf>
    <xf numFmtId="172" fontId="5" fillId="19" borderId="10" xfId="42" applyFont="1" applyFill="1" applyBorder="1" applyAlignment="1">
      <alignment horizontal="left" vertical="center" wrapText="1"/>
    </xf>
    <xf numFmtId="172" fontId="5" fillId="12" borderId="10" xfId="42" applyFont="1" applyFill="1" applyBorder="1" applyAlignment="1">
      <alignment horizontal="left" vertical="center" wrapText="1"/>
    </xf>
    <xf numFmtId="0" fontId="79" fillId="12" borderId="0" xfId="0" applyFont="1" applyFill="1" applyAlignment="1">
      <alignment horizontal="left" wrapText="1"/>
    </xf>
    <xf numFmtId="172" fontId="5" fillId="12" borderId="10" xfId="42" applyFont="1" applyFill="1" applyBorder="1" applyAlignment="1" applyProtection="1">
      <alignment horizontal="left" vertical="center" wrapText="1"/>
      <protection/>
    </xf>
    <xf numFmtId="172" fontId="17" fillId="12" borderId="10" xfId="42" applyFont="1" applyFill="1" applyBorder="1" applyAlignment="1">
      <alignment horizontal="left" vertical="center" wrapText="1"/>
    </xf>
    <xf numFmtId="172" fontId="17" fillId="12" borderId="10" xfId="42" applyFont="1" applyFill="1" applyBorder="1" applyAlignment="1" applyProtection="1">
      <alignment horizontal="left" vertical="center" wrapText="1"/>
      <protection/>
    </xf>
    <xf numFmtId="0" fontId="5" fillId="12" borderId="11" xfId="0" applyFont="1" applyFill="1" applyBorder="1" applyAlignment="1">
      <alignment wrapText="1"/>
    </xf>
    <xf numFmtId="0" fontId="5" fillId="12" borderId="10" xfId="0" applyFont="1" applyFill="1" applyBorder="1" applyAlignment="1">
      <alignment wrapText="1"/>
    </xf>
    <xf numFmtId="0" fontId="5" fillId="12" borderId="10" xfId="0" applyFont="1" applyFill="1" applyBorder="1" applyAlignment="1">
      <alignment vertical="center" wrapText="1"/>
    </xf>
    <xf numFmtId="0" fontId="79" fillId="12" borderId="10" xfId="0" applyFont="1" applyFill="1" applyBorder="1" applyAlignment="1">
      <alignment wrapText="1"/>
    </xf>
    <xf numFmtId="174" fontId="5" fillId="12" borderId="10" xfId="0" applyNumberFormat="1" applyFont="1" applyFill="1" applyBorder="1" applyAlignment="1" applyProtection="1">
      <alignment wrapText="1"/>
      <protection hidden="1"/>
    </xf>
    <xf numFmtId="0" fontId="5" fillId="12" borderId="0" xfId="0" applyFont="1" applyFill="1" applyAlignment="1">
      <alignment wrapText="1"/>
    </xf>
    <xf numFmtId="172" fontId="5" fillId="35" borderId="10" xfId="42" applyFont="1" applyFill="1" applyBorder="1" applyAlignment="1">
      <alignment horizontal="left" vertical="center" wrapText="1"/>
    </xf>
    <xf numFmtId="172" fontId="17" fillId="35" borderId="10" xfId="42" applyFont="1" applyFill="1" applyBorder="1" applyAlignment="1">
      <alignment horizontal="left" vertical="center" wrapText="1"/>
    </xf>
    <xf numFmtId="172" fontId="5" fillId="35" borderId="10" xfId="42" applyFont="1" applyFill="1" applyBorder="1" applyAlignment="1" applyProtection="1">
      <alignment horizontal="left" vertical="center" wrapText="1"/>
      <protection/>
    </xf>
    <xf numFmtId="174" fontId="5" fillId="35" borderId="10" xfId="89" applyNumberFormat="1" applyFont="1" applyFill="1" applyBorder="1" applyAlignment="1" applyProtection="1">
      <alignment horizontal="left" vertical="center" wrapText="1"/>
      <protection hidden="1"/>
    </xf>
    <xf numFmtId="172" fontId="5" fillId="35" borderId="11" xfId="42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>
      <alignment wrapText="1"/>
    </xf>
    <xf numFmtId="172" fontId="17" fillId="19" borderId="10" xfId="42" applyFont="1" applyFill="1" applyBorder="1" applyAlignment="1" applyProtection="1">
      <alignment horizontal="left" vertical="center" wrapText="1"/>
      <protection hidden="1"/>
    </xf>
    <xf numFmtId="172" fontId="5" fillId="19" borderId="10" xfId="42" applyFont="1" applyFill="1" applyBorder="1" applyAlignment="1">
      <alignment horizontal="left" wrapText="1"/>
    </xf>
    <xf numFmtId="172" fontId="5" fillId="13" borderId="10" xfId="42" applyFont="1" applyFill="1" applyBorder="1" applyAlignment="1">
      <alignment horizontal="left"/>
    </xf>
    <xf numFmtId="172" fontId="5" fillId="13" borderId="10" xfId="42" applyFont="1" applyFill="1" applyBorder="1" applyAlignment="1" applyProtection="1">
      <alignment horizontal="left"/>
      <protection/>
    </xf>
    <xf numFmtId="172" fontId="5" fillId="12" borderId="10" xfId="42" applyFont="1" applyFill="1" applyBorder="1" applyAlignment="1" applyProtection="1">
      <alignment horizontal="left"/>
      <protection/>
    </xf>
    <xf numFmtId="0" fontId="79" fillId="13" borderId="10" xfId="0" applyFont="1" applyFill="1" applyBorder="1" applyAlignment="1">
      <alignment/>
    </xf>
    <xf numFmtId="0" fontId="95" fillId="34" borderId="0" xfId="0" applyFont="1" applyFill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173" fontId="5" fillId="13" borderId="10" xfId="42" applyNumberFormat="1" applyFont="1" applyFill="1" applyBorder="1" applyAlignment="1" applyProtection="1">
      <alignment horizontal="left"/>
      <protection/>
    </xf>
    <xf numFmtId="0" fontId="5" fillId="13" borderId="10" xfId="0" applyFont="1" applyFill="1" applyBorder="1" applyAlignment="1">
      <alignment/>
    </xf>
    <xf numFmtId="0" fontId="5" fillId="13" borderId="10" xfId="63" applyFont="1" applyFill="1" applyBorder="1" applyAlignment="1">
      <alignment horizontal="left" vertical="center" wrapText="1"/>
      <protection/>
    </xf>
    <xf numFmtId="0" fontId="5" fillId="13" borderId="10" xfId="64" applyFont="1" applyFill="1" applyBorder="1" applyAlignment="1">
      <alignment horizontal="left" vertical="center" wrapText="1"/>
      <protection/>
    </xf>
    <xf numFmtId="0" fontId="5" fillId="13" borderId="10" xfId="65" applyFont="1" applyFill="1" applyBorder="1" applyAlignment="1">
      <alignment vertical="center" wrapText="1"/>
      <protection/>
    </xf>
    <xf numFmtId="0" fontId="5" fillId="13" borderId="11" xfId="66" applyFont="1" applyFill="1" applyBorder="1" applyAlignment="1">
      <alignment vertical="center" wrapText="1"/>
      <protection/>
    </xf>
    <xf numFmtId="0" fontId="81" fillId="0" borderId="0" xfId="0" applyFont="1" applyBorder="1" applyAlignment="1">
      <alignment/>
    </xf>
    <xf numFmtId="173" fontId="98" fillId="36" borderId="10" xfId="42" applyNumberFormat="1" applyFont="1" applyFill="1" applyBorder="1" applyAlignment="1">
      <alignment horizontal="center" vertical="center" wrapText="1"/>
    </xf>
    <xf numFmtId="0" fontId="98" fillId="36" borderId="25" xfId="0" applyFont="1" applyFill="1" applyBorder="1" applyAlignment="1">
      <alignment/>
    </xf>
    <xf numFmtId="0" fontId="98" fillId="36" borderId="26" xfId="0" applyFont="1" applyFill="1" applyBorder="1" applyAlignment="1">
      <alignment/>
    </xf>
    <xf numFmtId="0" fontId="98" fillId="36" borderId="26" xfId="0" applyFont="1" applyFill="1" applyBorder="1" applyAlignment="1">
      <alignment wrapText="1"/>
    </xf>
    <xf numFmtId="0" fontId="98" fillId="36" borderId="26" xfId="0" applyFont="1" applyFill="1" applyBorder="1" applyAlignment="1">
      <alignment horizontal="center" vertical="center"/>
    </xf>
    <xf numFmtId="0" fontId="98" fillId="36" borderId="26" xfId="0" applyFont="1" applyFill="1" applyBorder="1" applyAlignment="1">
      <alignment horizontal="center"/>
    </xf>
    <xf numFmtId="0" fontId="98" fillId="36" borderId="18" xfId="0" applyFont="1" applyFill="1" applyBorder="1" applyAlignment="1">
      <alignment/>
    </xf>
    <xf numFmtId="0" fontId="98" fillId="36" borderId="27" xfId="0" applyFont="1" applyFill="1" applyBorder="1" applyAlignment="1">
      <alignment/>
    </xf>
    <xf numFmtId="0" fontId="98" fillId="36" borderId="22" xfId="0" applyFont="1" applyFill="1" applyBorder="1" applyAlignment="1">
      <alignment vertical="center"/>
    </xf>
    <xf numFmtId="0" fontId="98" fillId="36" borderId="21" xfId="0" applyFont="1" applyFill="1" applyBorder="1" applyAlignment="1">
      <alignment vertical="center"/>
    </xf>
    <xf numFmtId="0" fontId="99" fillId="36" borderId="16" xfId="0" applyFont="1" applyFill="1" applyBorder="1" applyAlignment="1">
      <alignment vertical="center" wrapText="1"/>
    </xf>
    <xf numFmtId="172" fontId="98" fillId="36" borderId="10" xfId="42" applyFont="1" applyFill="1" applyBorder="1" applyAlignment="1">
      <alignment horizontal="left" vertical="center"/>
    </xf>
    <xf numFmtId="173" fontId="98" fillId="36" borderId="10" xfId="42" applyNumberFormat="1" applyFont="1" applyFill="1" applyBorder="1" applyAlignment="1">
      <alignment horizontal="left" vertical="center" wrapText="1"/>
    </xf>
    <xf numFmtId="173" fontId="98" fillId="36" borderId="10" xfId="42" applyNumberFormat="1" applyFont="1" applyFill="1" applyBorder="1" applyAlignment="1">
      <alignment horizontal="center" wrapText="1"/>
    </xf>
    <xf numFmtId="173" fontId="98" fillId="36" borderId="10" xfId="42" applyNumberFormat="1" applyFont="1" applyFill="1" applyBorder="1" applyAlignment="1">
      <alignment horizontal="left" wrapText="1"/>
    </xf>
    <xf numFmtId="173" fontId="98" fillId="36" borderId="19" xfId="42" applyNumberFormat="1" applyFont="1" applyFill="1" applyBorder="1" applyAlignment="1">
      <alignment horizontal="center" vertical="center" wrapText="1"/>
    </xf>
    <xf numFmtId="173" fontId="98" fillId="36" borderId="10" xfId="42" applyNumberFormat="1" applyFont="1" applyFill="1" applyBorder="1" applyAlignment="1">
      <alignment vertical="center" wrapText="1"/>
    </xf>
    <xf numFmtId="172" fontId="98" fillId="36" borderId="10" xfId="42" applyFont="1" applyFill="1" applyBorder="1" applyAlignment="1">
      <alignment horizontal="center" vertical="center" wrapText="1"/>
    </xf>
    <xf numFmtId="173" fontId="98" fillId="36" borderId="19" xfId="42" applyNumberFormat="1" applyFont="1" applyFill="1" applyBorder="1" applyAlignment="1">
      <alignment horizontal="center"/>
    </xf>
    <xf numFmtId="173" fontId="98" fillId="36" borderId="19" xfId="42" applyNumberFormat="1" applyFont="1" applyFill="1" applyBorder="1" applyAlignment="1">
      <alignment horizontal="center" wrapText="1"/>
    </xf>
    <xf numFmtId="173" fontId="98" fillId="36" borderId="19" xfId="42" applyNumberFormat="1" applyFont="1" applyFill="1" applyBorder="1" applyAlignment="1">
      <alignment horizontal="left" wrapText="1"/>
    </xf>
    <xf numFmtId="173" fontId="98" fillId="36" borderId="19" xfId="42" applyNumberFormat="1" applyFont="1" applyFill="1" applyBorder="1" applyAlignment="1">
      <alignment horizontal="right" vertical="center" wrapText="1"/>
    </xf>
    <xf numFmtId="173" fontId="98" fillId="36" borderId="19" xfId="42" applyNumberFormat="1" applyFont="1" applyFill="1" applyBorder="1" applyAlignment="1">
      <alignment horizontal="right" wrapText="1"/>
    </xf>
    <xf numFmtId="173" fontId="98" fillId="36" borderId="19" xfId="42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79" fillId="0" borderId="10" xfId="0" applyNumberFormat="1" applyFont="1" applyFill="1" applyBorder="1" applyAlignment="1">
      <alignment horizontal="center" vertical="center"/>
    </xf>
    <xf numFmtId="173" fontId="98" fillId="36" borderId="26" xfId="0" applyNumberFormat="1" applyFont="1" applyFill="1" applyBorder="1" applyAlignment="1">
      <alignment/>
    </xf>
    <xf numFmtId="172" fontId="17" fillId="13" borderId="10" xfId="42" applyFont="1" applyFill="1" applyBorder="1" applyAlignment="1" applyProtection="1">
      <alignment/>
      <protection hidden="1"/>
    </xf>
    <xf numFmtId="0" fontId="5" fillId="13" borderId="19" xfId="71" applyFont="1" applyFill="1" applyBorder="1" applyAlignment="1">
      <alignment vertical="center"/>
      <protection/>
    </xf>
    <xf numFmtId="0" fontId="5" fillId="13" borderId="10" xfId="73" applyFont="1" applyFill="1" applyBorder="1" applyAlignment="1">
      <alignment vertical="center"/>
      <protection/>
    </xf>
    <xf numFmtId="0" fontId="5" fillId="13" borderId="10" xfId="75" applyFont="1" applyFill="1" applyBorder="1" applyAlignment="1">
      <alignment vertical="center"/>
      <protection/>
    </xf>
    <xf numFmtId="0" fontId="5" fillId="13" borderId="10" xfId="77" applyFont="1" applyFill="1" applyBorder="1" applyAlignment="1">
      <alignment vertical="center"/>
      <protection/>
    </xf>
    <xf numFmtId="0" fontId="5" fillId="13" borderId="10" xfId="79" applyFont="1" applyFill="1" applyBorder="1" applyAlignment="1">
      <alignment vertical="center"/>
      <protection/>
    </xf>
    <xf numFmtId="0" fontId="5" fillId="13" borderId="10" xfId="81" applyFont="1" applyFill="1" applyBorder="1" applyAlignment="1">
      <alignment vertical="center"/>
      <protection/>
    </xf>
    <xf numFmtId="0" fontId="5" fillId="13" borderId="10" xfId="83" applyFont="1" applyFill="1" applyBorder="1" applyAlignment="1">
      <alignment horizontal="left" vertical="center"/>
      <protection/>
    </xf>
    <xf numFmtId="0" fontId="5" fillId="13" borderId="10" xfId="59" applyFont="1" applyFill="1" applyBorder="1" applyAlignment="1">
      <alignment vertical="center"/>
      <protection/>
    </xf>
    <xf numFmtId="0" fontId="5" fillId="13" borderId="10" xfId="61" applyFont="1" applyFill="1" applyBorder="1" applyAlignment="1">
      <alignment vertical="center"/>
      <protection/>
    </xf>
    <xf numFmtId="0" fontId="5" fillId="13" borderId="11" xfId="61" applyFont="1" applyFill="1" applyBorder="1" applyAlignment="1">
      <alignment vertical="center"/>
      <protection/>
    </xf>
    <xf numFmtId="0" fontId="5" fillId="13" borderId="11" xfId="62" applyFont="1" applyFill="1" applyBorder="1" applyAlignment="1">
      <alignment vertical="center"/>
      <protection/>
    </xf>
    <xf numFmtId="172" fontId="5" fillId="12" borderId="10" xfId="42" applyFont="1" applyFill="1" applyBorder="1" applyAlignment="1">
      <alignment horizontal="left"/>
    </xf>
    <xf numFmtId="172" fontId="5" fillId="12" borderId="10" xfId="42" applyFont="1" applyFill="1" applyBorder="1" applyAlignment="1">
      <alignment vertical="center"/>
    </xf>
    <xf numFmtId="172" fontId="5" fillId="12" borderId="10" xfId="42" applyFont="1" applyFill="1" applyBorder="1" applyAlignment="1">
      <alignment/>
    </xf>
    <xf numFmtId="172" fontId="5" fillId="35" borderId="10" xfId="42" applyFont="1" applyFill="1" applyBorder="1" applyAlignment="1" applyProtection="1">
      <alignment horizontal="left"/>
      <protection/>
    </xf>
    <xf numFmtId="172" fontId="5" fillId="35" borderId="10" xfId="42" applyFont="1" applyFill="1" applyBorder="1" applyAlignment="1">
      <alignment/>
    </xf>
    <xf numFmtId="172" fontId="79" fillId="35" borderId="10" xfId="42" applyFont="1" applyFill="1" applyBorder="1" applyAlignment="1">
      <alignment/>
    </xf>
    <xf numFmtId="0" fontId="79" fillId="35" borderId="10" xfId="0" applyFont="1" applyFill="1" applyBorder="1" applyAlignment="1">
      <alignment/>
    </xf>
    <xf numFmtId="172" fontId="5" fillId="35" borderId="10" xfId="42" applyFont="1" applyFill="1" applyBorder="1" applyAlignment="1" applyProtection="1">
      <alignment horizontal="left" vertical="top"/>
      <protection/>
    </xf>
    <xf numFmtId="172" fontId="5" fillId="35" borderId="11" xfId="42" applyFont="1" applyFill="1" applyBorder="1" applyAlignment="1" applyProtection="1">
      <alignment horizontal="left"/>
      <protection/>
    </xf>
    <xf numFmtId="0" fontId="79" fillId="35" borderId="20" xfId="0" applyFont="1" applyFill="1" applyBorder="1" applyAlignment="1">
      <alignment/>
    </xf>
    <xf numFmtId="172" fontId="5" fillId="35" borderId="10" xfId="42" applyFont="1" applyFill="1" applyBorder="1" applyAlignment="1">
      <alignment horizontal="left"/>
    </xf>
    <xf numFmtId="172" fontId="5" fillId="37" borderId="10" xfId="42" applyFont="1" applyFill="1" applyBorder="1" applyAlignment="1" applyProtection="1">
      <alignment horizontal="left"/>
      <protection/>
    </xf>
    <xf numFmtId="173" fontId="5" fillId="12" borderId="10" xfId="42" applyNumberFormat="1" applyFont="1" applyFill="1" applyBorder="1" applyAlignment="1" applyProtection="1">
      <alignment horizontal="left"/>
      <protection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/>
    </xf>
    <xf numFmtId="0" fontId="5" fillId="12" borderId="10" xfId="67" applyFont="1" applyFill="1" applyBorder="1" applyAlignment="1">
      <alignment vertical="center" wrapText="1"/>
      <protection/>
    </xf>
    <xf numFmtId="0" fontId="5" fillId="12" borderId="10" xfId="69" applyFont="1" applyFill="1" applyBorder="1" applyAlignment="1">
      <alignment vertical="center" wrapText="1"/>
      <protection/>
    </xf>
    <xf numFmtId="173" fontId="5" fillId="37" borderId="11" xfId="42" applyNumberFormat="1" applyFont="1" applyFill="1" applyBorder="1" applyAlignment="1">
      <alignment/>
    </xf>
    <xf numFmtId="173" fontId="5" fillId="37" borderId="11" xfId="42" applyNumberFormat="1" applyFont="1" applyFill="1" applyBorder="1" applyAlignment="1" applyProtection="1">
      <alignment horizontal="left"/>
      <protection/>
    </xf>
    <xf numFmtId="175" fontId="5" fillId="34" borderId="10" xfId="42" applyNumberFormat="1" applyFont="1" applyFill="1" applyBorder="1" applyAlignment="1">
      <alignment vertical="center"/>
    </xf>
    <xf numFmtId="173" fontId="23" fillId="34" borderId="16" xfId="42" applyNumberFormat="1" applyFont="1" applyFill="1" applyBorder="1" applyAlignment="1">
      <alignment horizontal="right"/>
    </xf>
    <xf numFmtId="173" fontId="23" fillId="34" borderId="10" xfId="42" applyNumberFormat="1" applyFont="1" applyFill="1" applyBorder="1" applyAlignment="1">
      <alignment horizontal="right"/>
    </xf>
    <xf numFmtId="173" fontId="23" fillId="34" borderId="11" xfId="42" applyNumberFormat="1" applyFont="1" applyFill="1" applyBorder="1" applyAlignment="1">
      <alignment horizontal="right"/>
    </xf>
    <xf numFmtId="173" fontId="23" fillId="34" borderId="17" xfId="42" applyNumberFormat="1" applyFont="1" applyFill="1" applyBorder="1" applyAlignment="1">
      <alignment horizontal="right"/>
    </xf>
    <xf numFmtId="173" fontId="5" fillId="34" borderId="18" xfId="42" applyNumberFormat="1" applyFont="1" applyFill="1" applyBorder="1" applyAlignment="1">
      <alignment horizontal="right" wrapText="1"/>
    </xf>
    <xf numFmtId="0" fontId="98" fillId="36" borderId="18" xfId="0" applyFont="1" applyFill="1" applyBorder="1" applyAlignment="1">
      <alignment wrapText="1"/>
    </xf>
    <xf numFmtId="0" fontId="98" fillId="36" borderId="18" xfId="0" applyFont="1" applyFill="1" applyBorder="1" applyAlignment="1">
      <alignment horizontal="center" vertical="center"/>
    </xf>
    <xf numFmtId="0" fontId="98" fillId="36" borderId="18" xfId="0" applyFont="1" applyFill="1" applyBorder="1" applyAlignment="1">
      <alignment horizontal="center"/>
    </xf>
    <xf numFmtId="0" fontId="98" fillId="36" borderId="28" xfId="0" applyFont="1" applyFill="1" applyBorder="1" applyAlignment="1">
      <alignment/>
    </xf>
    <xf numFmtId="0" fontId="98" fillId="36" borderId="29" xfId="0" applyFont="1" applyFill="1" applyBorder="1" applyAlignment="1">
      <alignment/>
    </xf>
    <xf numFmtId="3" fontId="98" fillId="36" borderId="25" xfId="0" applyNumberFormat="1" applyFont="1" applyFill="1" applyBorder="1" applyAlignment="1">
      <alignment/>
    </xf>
    <xf numFmtId="173" fontId="98" fillId="36" borderId="18" xfId="0" applyNumberFormat="1" applyFont="1" applyFill="1" applyBorder="1" applyAlignment="1">
      <alignment/>
    </xf>
    <xf numFmtId="172" fontId="4" fillId="34" borderId="10" xfId="42" applyFont="1" applyFill="1" applyBorder="1" applyAlignment="1" applyProtection="1">
      <alignment horizontal="left" wrapText="1"/>
      <protection hidden="1"/>
    </xf>
    <xf numFmtId="172" fontId="5" fillId="0" borderId="10" xfId="42" applyFont="1" applyFill="1" applyBorder="1" applyAlignment="1">
      <alignment horizontal="center" wrapText="1"/>
    </xf>
    <xf numFmtId="172" fontId="5" fillId="0" borderId="10" xfId="42" applyFont="1" applyFill="1" applyBorder="1" applyAlignment="1" applyProtection="1">
      <alignment horizontal="left"/>
      <protection hidden="1"/>
    </xf>
    <xf numFmtId="172" fontId="5" fillId="0" borderId="10" xfId="42" applyFont="1" applyFill="1" applyBorder="1" applyAlignment="1" applyProtection="1">
      <alignment horizontal="left" wrapText="1"/>
      <protection hidden="1"/>
    </xf>
    <xf numFmtId="173" fontId="5" fillId="0" borderId="10" xfId="42" applyNumberFormat="1" applyFont="1" applyFill="1" applyBorder="1" applyAlignment="1">
      <alignment horizontal="center" wrapText="1"/>
    </xf>
    <xf numFmtId="173" fontId="5" fillId="0" borderId="10" xfId="42" applyNumberFormat="1" applyFont="1" applyFill="1" applyBorder="1" applyAlignment="1">
      <alignment horizontal="right" wrapText="1"/>
    </xf>
    <xf numFmtId="173" fontId="5" fillId="0" borderId="10" xfId="42" applyNumberFormat="1" applyFont="1" applyFill="1" applyBorder="1" applyAlignment="1">
      <alignment wrapText="1"/>
    </xf>
    <xf numFmtId="173" fontId="92" fillId="0" borderId="10" xfId="42" applyNumberFormat="1" applyFont="1" applyFill="1" applyBorder="1" applyAlignment="1">
      <alignment horizontal="center" vertical="center" wrapText="1"/>
    </xf>
    <xf numFmtId="173" fontId="5" fillId="0" borderId="10" xfId="42" applyNumberFormat="1" applyFont="1" applyFill="1" applyBorder="1" applyAlignment="1">
      <alignment vertical="center" wrapText="1"/>
    </xf>
    <xf numFmtId="173" fontId="23" fillId="0" borderId="16" xfId="42" applyNumberFormat="1" applyFont="1" applyFill="1" applyBorder="1" applyAlignment="1">
      <alignment horizontal="right"/>
    </xf>
    <xf numFmtId="173" fontId="23" fillId="0" borderId="10" xfId="42" applyNumberFormat="1" applyFont="1" applyFill="1" applyBorder="1" applyAlignment="1">
      <alignment horizontal="right"/>
    </xf>
    <xf numFmtId="172" fontId="5" fillId="38" borderId="10" xfId="42" applyFont="1" applyFill="1" applyBorder="1" applyAlignment="1">
      <alignment horizontal="center" wrapText="1"/>
    </xf>
    <xf numFmtId="172" fontId="5" fillId="38" borderId="10" xfId="42" applyFont="1" applyFill="1" applyBorder="1" applyAlignment="1" applyProtection="1">
      <alignment horizontal="left"/>
      <protection/>
    </xf>
    <xf numFmtId="172" fontId="5" fillId="38" borderId="10" xfId="42" applyFont="1" applyFill="1" applyBorder="1" applyAlignment="1" applyProtection="1">
      <alignment horizontal="left"/>
      <protection hidden="1"/>
    </xf>
    <xf numFmtId="172" fontId="5" fillId="38" borderId="10" xfId="42" applyFont="1" applyFill="1" applyBorder="1" applyAlignment="1" applyProtection="1">
      <alignment horizontal="left" wrapText="1"/>
      <protection hidden="1"/>
    </xf>
    <xf numFmtId="173" fontId="5" fillId="38" borderId="10" xfId="42" applyNumberFormat="1" applyFont="1" applyFill="1" applyBorder="1" applyAlignment="1">
      <alignment horizontal="center" wrapText="1"/>
    </xf>
    <xf numFmtId="173" fontId="5" fillId="38" borderId="10" xfId="42" applyNumberFormat="1" applyFont="1" applyFill="1" applyBorder="1" applyAlignment="1">
      <alignment horizontal="right" wrapText="1"/>
    </xf>
    <xf numFmtId="173" fontId="5" fillId="38" borderId="10" xfId="42" applyNumberFormat="1" applyFont="1" applyFill="1" applyBorder="1" applyAlignment="1">
      <alignment wrapText="1"/>
    </xf>
    <xf numFmtId="173" fontId="92" fillId="38" borderId="10" xfId="42" applyNumberFormat="1" applyFont="1" applyFill="1" applyBorder="1" applyAlignment="1">
      <alignment horizontal="center" vertical="center" wrapText="1"/>
    </xf>
    <xf numFmtId="173" fontId="5" fillId="38" borderId="10" xfId="42" applyNumberFormat="1" applyFont="1" applyFill="1" applyBorder="1" applyAlignment="1">
      <alignment vertical="center" wrapText="1"/>
    </xf>
    <xf numFmtId="0" fontId="88" fillId="38" borderId="0" xfId="0" applyFont="1" applyFill="1" applyAlignment="1">
      <alignment/>
    </xf>
    <xf numFmtId="3" fontId="5" fillId="0" borderId="10" xfId="0" applyNumberFormat="1" applyFont="1" applyFill="1" applyBorder="1" applyAlignment="1" quotePrefix="1">
      <alignment horizontal="center" wrapText="1"/>
    </xf>
    <xf numFmtId="173" fontId="5" fillId="38" borderId="16" xfId="42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173" fontId="23" fillId="38" borderId="16" xfId="42" applyNumberFormat="1" applyFont="1" applyFill="1" applyBorder="1" applyAlignment="1">
      <alignment horizontal="right"/>
    </xf>
    <xf numFmtId="173" fontId="23" fillId="38" borderId="10" xfId="42" applyNumberFormat="1" applyFont="1" applyFill="1" applyBorder="1" applyAlignment="1">
      <alignment horizontal="right"/>
    </xf>
    <xf numFmtId="0" fontId="5" fillId="38" borderId="10" xfId="0" applyFont="1" applyFill="1" applyBorder="1" applyAlignment="1" quotePrefix="1">
      <alignment horizontal="left" vertical="center"/>
    </xf>
    <xf numFmtId="172" fontId="5" fillId="38" borderId="10" xfId="42" applyFont="1" applyFill="1" applyBorder="1" applyAlignment="1">
      <alignment horizontal="left" vertical="center"/>
    </xf>
    <xf numFmtId="172" fontId="5" fillId="38" borderId="10" xfId="42" applyFont="1" applyFill="1" applyBorder="1" applyAlignment="1" applyProtection="1">
      <alignment horizontal="left" vertical="center" wrapText="1"/>
      <protection/>
    </xf>
    <xf numFmtId="172" fontId="5" fillId="38" borderId="10" xfId="42" applyFont="1" applyFill="1" applyBorder="1" applyAlignment="1" applyProtection="1">
      <alignment horizontal="left" vertical="center" wrapText="1"/>
      <protection hidden="1"/>
    </xf>
    <xf numFmtId="173" fontId="5" fillId="38" borderId="10" xfId="42" applyNumberFormat="1" applyFont="1" applyFill="1" applyBorder="1" applyAlignment="1">
      <alignment horizontal="center" vertical="center"/>
    </xf>
    <xf numFmtId="173" fontId="5" fillId="38" borderId="10" xfId="42" applyNumberFormat="1" applyFont="1" applyFill="1" applyBorder="1" applyAlignment="1">
      <alignment horizontal="left" vertical="center"/>
    </xf>
    <xf numFmtId="173" fontId="5" fillId="38" borderId="10" xfId="42" applyNumberFormat="1" applyFont="1" applyFill="1" applyBorder="1" applyAlignment="1">
      <alignment horizontal="left" vertical="center" wrapText="1"/>
    </xf>
    <xf numFmtId="173" fontId="80" fillId="38" borderId="10" xfId="42" applyNumberFormat="1" applyFont="1" applyFill="1" applyBorder="1" applyAlignment="1">
      <alignment horizontal="center"/>
    </xf>
    <xf numFmtId="173" fontId="4" fillId="38" borderId="10" xfId="42" applyNumberFormat="1" applyFont="1" applyFill="1" applyBorder="1" applyAlignment="1">
      <alignment horizontal="left" vertical="center"/>
    </xf>
    <xf numFmtId="3" fontId="5" fillId="38" borderId="10" xfId="0" applyNumberFormat="1" applyFont="1" applyFill="1" applyBorder="1" applyAlignment="1" quotePrefix="1">
      <alignment horizontal="left" vertical="center"/>
    </xf>
    <xf numFmtId="172" fontId="5" fillId="38" borderId="10" xfId="42" applyFont="1" applyFill="1" applyBorder="1" applyAlignment="1" applyProtection="1">
      <alignment horizontal="left" vertical="center"/>
      <protection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 vertical="center"/>
    </xf>
    <xf numFmtId="175" fontId="5" fillId="38" borderId="10" xfId="42" applyNumberFormat="1" applyFont="1" applyFill="1" applyBorder="1" applyAlignment="1">
      <alignment horizontal="right"/>
    </xf>
    <xf numFmtId="173" fontId="80" fillId="38" borderId="10" xfId="42" applyNumberFormat="1" applyFont="1" applyFill="1" applyBorder="1" applyAlignment="1" applyProtection="1">
      <alignment horizontal="center"/>
      <protection hidden="1"/>
    </xf>
    <xf numFmtId="173" fontId="4" fillId="38" borderId="10" xfId="42" applyNumberFormat="1" applyFont="1" applyFill="1" applyBorder="1" applyAlignment="1" applyProtection="1">
      <alignment horizontal="left" vertical="center"/>
      <protection hidden="1"/>
    </xf>
    <xf numFmtId="0" fontId="78" fillId="38" borderId="0" xfId="0" applyFont="1" applyFill="1" applyAlignment="1">
      <alignment/>
    </xf>
    <xf numFmtId="173" fontId="98" fillId="36" borderId="11" xfId="42" applyNumberFormat="1" applyFont="1" applyFill="1" applyBorder="1" applyAlignment="1">
      <alignment horizontal="center" vertical="center" wrapText="1"/>
    </xf>
    <xf numFmtId="173" fontId="98" fillId="36" borderId="19" xfId="42" applyNumberFormat="1" applyFont="1" applyFill="1" applyBorder="1" applyAlignment="1">
      <alignment horizontal="center" vertical="center" wrapText="1"/>
    </xf>
    <xf numFmtId="172" fontId="98" fillId="36" borderId="11" xfId="42" applyFont="1" applyFill="1" applyBorder="1" applyAlignment="1">
      <alignment horizontal="center" vertical="center" wrapText="1"/>
    </xf>
    <xf numFmtId="172" fontId="98" fillId="36" borderId="20" xfId="42" applyFont="1" applyFill="1" applyBorder="1" applyAlignment="1">
      <alignment horizontal="center" vertical="center" wrapText="1"/>
    </xf>
    <xf numFmtId="172" fontId="98" fillId="36" borderId="30" xfId="42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horizontal="center" vertical="center"/>
    </xf>
    <xf numFmtId="0" fontId="98" fillId="36" borderId="11" xfId="0" applyFont="1" applyFill="1" applyBorder="1" applyAlignment="1">
      <alignment horizontal="center" vertical="center"/>
    </xf>
    <xf numFmtId="0" fontId="98" fillId="36" borderId="19" xfId="0" applyFont="1" applyFill="1" applyBorder="1" applyAlignment="1">
      <alignment horizontal="center" vertical="center"/>
    </xf>
    <xf numFmtId="172" fontId="98" fillId="36" borderId="19" xfId="42" applyFont="1" applyFill="1" applyBorder="1" applyAlignment="1">
      <alignment horizontal="center" vertical="center" wrapText="1"/>
    </xf>
    <xf numFmtId="173" fontId="98" fillId="36" borderId="23" xfId="42" applyNumberFormat="1" applyFont="1" applyFill="1" applyBorder="1" applyAlignment="1">
      <alignment horizontal="center" vertical="center" wrapText="1"/>
    </xf>
    <xf numFmtId="173" fontId="98" fillId="36" borderId="31" xfId="42" applyNumberFormat="1" applyFont="1" applyFill="1" applyBorder="1" applyAlignment="1">
      <alignment horizontal="center" vertical="center" wrapText="1"/>
    </xf>
    <xf numFmtId="173" fontId="98" fillId="36" borderId="17" xfId="42" applyNumberFormat="1" applyFont="1" applyFill="1" applyBorder="1" applyAlignment="1">
      <alignment horizontal="center" vertical="center" wrapText="1"/>
    </xf>
    <xf numFmtId="173" fontId="98" fillId="36" borderId="32" xfId="42" applyNumberFormat="1" applyFont="1" applyFill="1" applyBorder="1" applyAlignment="1">
      <alignment horizontal="center" vertical="center" wrapText="1"/>
    </xf>
    <xf numFmtId="173" fontId="98" fillId="36" borderId="29" xfId="42" applyNumberFormat="1" applyFont="1" applyFill="1" applyBorder="1" applyAlignment="1">
      <alignment horizontal="center" vertical="center" wrapText="1"/>
    </xf>
    <xf numFmtId="173" fontId="98" fillId="36" borderId="20" xfId="42" applyNumberFormat="1" applyFont="1" applyFill="1" applyBorder="1" applyAlignment="1">
      <alignment horizontal="center" vertical="center" wrapText="1"/>
    </xf>
    <xf numFmtId="173" fontId="98" fillId="36" borderId="30" xfId="42" applyNumberFormat="1" applyFont="1" applyFill="1" applyBorder="1" applyAlignment="1">
      <alignment horizontal="center" vertical="center" wrapText="1"/>
    </xf>
    <xf numFmtId="0" fontId="98" fillId="36" borderId="20" xfId="0" applyFont="1" applyFill="1" applyBorder="1" applyAlignment="1">
      <alignment horizontal="center" vertical="center"/>
    </xf>
    <xf numFmtId="0" fontId="98" fillId="36" borderId="30" xfId="0" applyFont="1" applyFill="1" applyBorder="1" applyAlignment="1">
      <alignment horizontal="center" vertical="center"/>
    </xf>
    <xf numFmtId="173" fontId="98" fillId="36" borderId="23" xfId="42" applyNumberFormat="1" applyFont="1" applyFill="1" applyBorder="1" applyAlignment="1">
      <alignment horizontal="center" vertical="center"/>
    </xf>
    <xf numFmtId="173" fontId="98" fillId="36" borderId="31" xfId="42" applyNumberFormat="1" applyFont="1" applyFill="1" applyBorder="1" applyAlignment="1">
      <alignment horizontal="center" vertical="center"/>
    </xf>
    <xf numFmtId="173" fontId="98" fillId="36" borderId="17" xfId="42" applyNumberFormat="1" applyFont="1" applyFill="1" applyBorder="1" applyAlignment="1">
      <alignment horizontal="center" vertical="center"/>
    </xf>
    <xf numFmtId="173" fontId="98" fillId="36" borderId="32" xfId="42" applyNumberFormat="1" applyFont="1" applyFill="1" applyBorder="1" applyAlignment="1">
      <alignment horizontal="center" vertical="center"/>
    </xf>
    <xf numFmtId="173" fontId="98" fillId="36" borderId="18" xfId="42" applyNumberFormat="1" applyFont="1" applyFill="1" applyBorder="1" applyAlignment="1">
      <alignment horizontal="center" vertical="center"/>
    </xf>
    <xf numFmtId="173" fontId="98" fillId="36" borderId="29" xfId="42" applyNumberFormat="1" applyFont="1" applyFill="1" applyBorder="1" applyAlignment="1">
      <alignment horizontal="center" vertical="center"/>
    </xf>
    <xf numFmtId="172" fontId="98" fillId="36" borderId="11" xfId="42" applyFont="1" applyFill="1" applyBorder="1" applyAlignment="1">
      <alignment horizontal="center" vertical="center"/>
    </xf>
    <xf numFmtId="172" fontId="98" fillId="36" borderId="19" xfId="42" applyFont="1" applyFill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 wrapText="1"/>
    </xf>
    <xf numFmtId="0" fontId="98" fillId="36" borderId="11" xfId="0" applyFont="1" applyFill="1" applyBorder="1" applyAlignment="1">
      <alignment horizontal="center" vertical="center" wrapText="1"/>
    </xf>
    <xf numFmtId="0" fontId="98" fillId="36" borderId="19" xfId="0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horizontal="center" vertical="center" wrapText="1"/>
    </xf>
    <xf numFmtId="0" fontId="98" fillId="36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2" xfId="69"/>
    <cellStyle name="Normal 2 3" xfId="70"/>
    <cellStyle name="Normal 3" xfId="71"/>
    <cellStyle name="Normal 3 2" xfId="72"/>
    <cellStyle name="Normal 4" xfId="73"/>
    <cellStyle name="Normal 4 2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rmal 8" xfId="81"/>
    <cellStyle name="Normal 8 2" xfId="82"/>
    <cellStyle name="Normal 9" xfId="83"/>
    <cellStyle name="Normal 9 2" xfId="84"/>
    <cellStyle name="Normal_Sheet1 2" xfId="85"/>
    <cellStyle name="Note" xfId="86"/>
    <cellStyle name="Output" xfId="87"/>
    <cellStyle name="Percent" xfId="88"/>
    <cellStyle name="Style 1" xfId="89"/>
    <cellStyle name="Title" xfId="90"/>
    <cellStyle name="Total" xfId="91"/>
    <cellStyle name="Warning Text" xfId="92"/>
    <cellStyle name="常规_Sheet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981075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981075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600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2</xdr:col>
      <xdr:colOff>1028700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590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Z778"/>
  <sheetViews>
    <sheetView zoomScalePageLayoutView="0" workbookViewId="0" topLeftCell="A1">
      <pane ySplit="5" topLeftCell="A72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57421875" style="15" customWidth="1"/>
    <col min="2" max="2" width="5.8515625" style="15" customWidth="1"/>
    <col min="3" max="3" width="21.57421875" style="277" customWidth="1"/>
    <col min="4" max="4" width="19.7109375" style="164" customWidth="1"/>
    <col min="5" max="5" width="12.57421875" style="15" customWidth="1"/>
    <col min="6" max="6" width="12.00390625" style="15" customWidth="1"/>
    <col min="7" max="7" width="6.00390625" style="69" customWidth="1"/>
    <col min="8" max="8" width="7.7109375" style="15" customWidth="1"/>
    <col min="9" max="9" width="4.421875" style="15" customWidth="1"/>
    <col min="10" max="10" width="8.57421875" style="24" customWidth="1"/>
    <col min="11" max="11" width="4.421875" style="16" customWidth="1"/>
    <col min="12" max="12" width="5.00390625" style="15" customWidth="1"/>
    <col min="13" max="13" width="9.421875" style="15" customWidth="1"/>
    <col min="14" max="14" width="8.421875" style="15" customWidth="1"/>
    <col min="15" max="15" width="10.57421875" style="15" customWidth="1"/>
    <col min="16" max="16" width="4.57421875" style="15" customWidth="1"/>
    <col min="17" max="17" width="5.00390625" style="15" customWidth="1"/>
    <col min="18" max="18" width="10.7109375" style="15" customWidth="1"/>
    <col min="19" max="19" width="11.8515625" style="15" customWidth="1"/>
    <col min="20" max="20" width="10.57421875" style="15" customWidth="1"/>
    <col min="21" max="21" width="11.421875" style="15" customWidth="1"/>
    <col min="22" max="22" width="10.421875" style="15" customWidth="1"/>
    <col min="23" max="23" width="16.7109375" style="15" bestFit="1" customWidth="1"/>
    <col min="24" max="16384" width="9.140625" style="15" customWidth="1"/>
  </cols>
  <sheetData>
    <row r="1" spans="1:21" s="14" customFormat="1" ht="25.5" customHeight="1">
      <c r="A1" s="485" t="s">
        <v>1371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</row>
    <row r="2" spans="1:21" ht="8.25" customHeight="1">
      <c r="A2" s="1"/>
      <c r="B2" s="2"/>
      <c r="C2" s="276"/>
      <c r="D2" s="260"/>
      <c r="E2" s="2"/>
      <c r="F2" s="2"/>
      <c r="G2" s="3"/>
      <c r="H2" s="3"/>
      <c r="I2" s="3"/>
      <c r="J2" s="22"/>
      <c r="K2" s="4"/>
      <c r="L2" s="3"/>
      <c r="M2" s="3"/>
      <c r="N2" s="3"/>
      <c r="O2" s="5"/>
      <c r="P2" s="5"/>
      <c r="Q2" s="6"/>
      <c r="R2" s="5">
        <v>22500</v>
      </c>
      <c r="S2" s="5"/>
      <c r="T2" s="5"/>
      <c r="U2" s="7">
        <v>21000</v>
      </c>
    </row>
    <row r="3" spans="1:21" s="42" customFormat="1" ht="24" customHeight="1">
      <c r="A3" s="486" t="s">
        <v>0</v>
      </c>
      <c r="B3" s="482" t="s">
        <v>370</v>
      </c>
      <c r="C3" s="482" t="s">
        <v>951</v>
      </c>
      <c r="D3" s="482" t="s">
        <v>3</v>
      </c>
      <c r="E3" s="482" t="s">
        <v>4</v>
      </c>
      <c r="F3" s="482" t="s">
        <v>1111</v>
      </c>
      <c r="G3" s="480" t="s">
        <v>5</v>
      </c>
      <c r="H3" s="480" t="s">
        <v>6</v>
      </c>
      <c r="I3" s="480" t="s">
        <v>7</v>
      </c>
      <c r="J3" s="480" t="s">
        <v>1463</v>
      </c>
      <c r="K3" s="489" t="s">
        <v>8</v>
      </c>
      <c r="L3" s="491"/>
      <c r="M3" s="480" t="s">
        <v>9</v>
      </c>
      <c r="N3" s="480" t="s">
        <v>10</v>
      </c>
      <c r="O3" s="480" t="s">
        <v>11</v>
      </c>
      <c r="P3" s="480" t="s">
        <v>371</v>
      </c>
      <c r="Q3" s="480" t="s">
        <v>1409</v>
      </c>
      <c r="R3" s="480" t="s">
        <v>14</v>
      </c>
      <c r="S3" s="489" t="s">
        <v>15</v>
      </c>
      <c r="T3" s="490"/>
      <c r="U3" s="491"/>
    </row>
    <row r="4" spans="1:21" s="42" customFormat="1" ht="32.25" customHeight="1">
      <c r="A4" s="487"/>
      <c r="B4" s="488"/>
      <c r="C4" s="488"/>
      <c r="D4" s="488"/>
      <c r="E4" s="488"/>
      <c r="F4" s="488"/>
      <c r="G4" s="481"/>
      <c r="H4" s="481"/>
      <c r="I4" s="481"/>
      <c r="J4" s="481"/>
      <c r="K4" s="492"/>
      <c r="L4" s="493"/>
      <c r="M4" s="481"/>
      <c r="N4" s="481"/>
      <c r="O4" s="481"/>
      <c r="P4" s="481"/>
      <c r="Q4" s="481"/>
      <c r="R4" s="481"/>
      <c r="S4" s="366" t="s">
        <v>801</v>
      </c>
      <c r="T4" s="366" t="s">
        <v>802</v>
      </c>
      <c r="U4" s="366" t="s">
        <v>927</v>
      </c>
    </row>
    <row r="5" spans="1:21" s="42" customFormat="1" ht="12.75" customHeight="1" thickBot="1">
      <c r="A5" s="71">
        <f>COUNT(A7:A554)</f>
        <v>545</v>
      </c>
      <c r="B5" s="72"/>
      <c r="C5" s="208" t="s">
        <v>372</v>
      </c>
      <c r="D5" s="147"/>
      <c r="E5" s="71"/>
      <c r="F5" s="71"/>
      <c r="G5" s="74"/>
      <c r="H5" s="71"/>
      <c r="I5" s="71"/>
      <c r="J5" s="75"/>
      <c r="K5" s="76" t="s">
        <v>801</v>
      </c>
      <c r="L5" s="76" t="s">
        <v>802</v>
      </c>
      <c r="M5" s="71"/>
      <c r="N5" s="71"/>
      <c r="O5" s="71"/>
      <c r="P5" s="71"/>
      <c r="Q5" s="71"/>
      <c r="R5" s="71"/>
      <c r="S5" s="77"/>
      <c r="T5" s="77"/>
      <c r="U5" s="78"/>
    </row>
    <row r="6" spans="1:21" s="42" customFormat="1" ht="22.5" customHeight="1">
      <c r="A6" s="367" t="s">
        <v>16</v>
      </c>
      <c r="B6" s="368"/>
      <c r="C6" s="369"/>
      <c r="D6" s="369"/>
      <c r="E6" s="368"/>
      <c r="F6" s="368"/>
      <c r="G6" s="370"/>
      <c r="H6" s="368"/>
      <c r="I6" s="368"/>
      <c r="J6" s="371"/>
      <c r="K6" s="372"/>
      <c r="L6" s="372"/>
      <c r="M6" s="368"/>
      <c r="N6" s="368"/>
      <c r="O6" s="368"/>
      <c r="P6" s="368"/>
      <c r="Q6" s="368"/>
      <c r="R6" s="368"/>
      <c r="S6" s="368"/>
      <c r="T6" s="368"/>
      <c r="U6" s="373"/>
    </row>
    <row r="7" spans="1:21" s="42" customFormat="1" ht="26.25" customHeight="1">
      <c r="A7" s="79">
        <v>1</v>
      </c>
      <c r="B7" s="80" t="s">
        <v>100</v>
      </c>
      <c r="C7" s="325" t="s">
        <v>373</v>
      </c>
      <c r="D7" s="261" t="s">
        <v>1046</v>
      </c>
      <c r="E7" s="80" t="s">
        <v>374</v>
      </c>
      <c r="F7" s="80" t="s">
        <v>1138</v>
      </c>
      <c r="G7" s="66">
        <v>34</v>
      </c>
      <c r="H7" s="82">
        <v>1500</v>
      </c>
      <c r="I7" s="83">
        <v>3</v>
      </c>
      <c r="J7" s="84" t="s">
        <v>1339</v>
      </c>
      <c r="K7" s="86">
        <v>1</v>
      </c>
      <c r="L7" s="82">
        <v>1</v>
      </c>
      <c r="M7" s="82">
        <f>(H7*10/5)+(H7*24*5/100)</f>
        <v>4800</v>
      </c>
      <c r="N7" s="82">
        <f>(H7*10/5*0.15*5.5)+(H7*24*5/100*0.15*7)</f>
        <v>4365</v>
      </c>
      <c r="O7" s="82">
        <f>((10*H7/5*6.6*5.5)+(10*H7/5*0.15*5.5*2))+((24*H7*5/100*6.6*7)+(24*H7*5/100*0.15*7*2))</f>
        <v>200790</v>
      </c>
      <c r="P7" s="87">
        <v>1</v>
      </c>
      <c r="Q7" s="87">
        <v>1</v>
      </c>
      <c r="R7" s="82">
        <f>90*$R$2</f>
        <v>2025000</v>
      </c>
      <c r="S7" s="82">
        <f aca="true" t="shared" si="0" ref="S7:S38">R7*Q7*P7*K7</f>
        <v>2025000</v>
      </c>
      <c r="T7" s="82">
        <f>L7*P7*Q7*R7</f>
        <v>2025000</v>
      </c>
      <c r="U7" s="82">
        <f>S7+T7</f>
        <v>4050000</v>
      </c>
    </row>
    <row r="8" spans="1:21" s="42" customFormat="1" ht="26.25" customHeight="1">
      <c r="A8" s="79">
        <v>2</v>
      </c>
      <c r="B8" s="80" t="s">
        <v>100</v>
      </c>
      <c r="C8" s="325" t="s">
        <v>375</v>
      </c>
      <c r="D8" s="261" t="s">
        <v>1047</v>
      </c>
      <c r="E8" s="80" t="s">
        <v>374</v>
      </c>
      <c r="F8" s="80" t="s">
        <v>1138</v>
      </c>
      <c r="G8" s="66">
        <v>34</v>
      </c>
      <c r="H8" s="82">
        <v>1500</v>
      </c>
      <c r="I8" s="83">
        <v>3</v>
      </c>
      <c r="J8" s="84" t="s">
        <v>1339</v>
      </c>
      <c r="K8" s="86">
        <v>1</v>
      </c>
      <c r="L8" s="82">
        <v>1</v>
      </c>
      <c r="M8" s="82">
        <f>(H8*10/5)+(H8*24*5/100)</f>
        <v>4800</v>
      </c>
      <c r="N8" s="82">
        <f>(H8*10/5*0.15*5.5)+(H8*24*5/100*0.15*7)</f>
        <v>4365</v>
      </c>
      <c r="O8" s="82">
        <f>((10*H8/5*6.6*5.5)+(10*H8/5*0.15*5.5*2))+((24*H8*5/100*6.6*7)+(24*H8*5/100*0.15*7*2))</f>
        <v>200790</v>
      </c>
      <c r="P8" s="87">
        <v>1</v>
      </c>
      <c r="Q8" s="87">
        <v>1</v>
      </c>
      <c r="R8" s="82">
        <f aca="true" t="shared" si="1" ref="R8:R81">90*$R$2</f>
        <v>2025000</v>
      </c>
      <c r="S8" s="82">
        <f t="shared" si="0"/>
        <v>2025000</v>
      </c>
      <c r="T8" s="82">
        <f aca="true" t="shared" si="2" ref="T8:T83">L8*P8*Q8*R8</f>
        <v>2025000</v>
      </c>
      <c r="U8" s="82">
        <f>S8+T8</f>
        <v>4050000</v>
      </c>
    </row>
    <row r="9" spans="1:21" s="42" customFormat="1" ht="26.25" customHeight="1">
      <c r="A9" s="79">
        <v>3</v>
      </c>
      <c r="B9" s="80" t="s">
        <v>100</v>
      </c>
      <c r="C9" s="325" t="s">
        <v>376</v>
      </c>
      <c r="D9" s="261" t="s">
        <v>1048</v>
      </c>
      <c r="E9" s="80" t="s">
        <v>374</v>
      </c>
      <c r="F9" s="80" t="s">
        <v>1138</v>
      </c>
      <c r="G9" s="66">
        <v>34</v>
      </c>
      <c r="H9" s="82">
        <v>1500</v>
      </c>
      <c r="I9" s="83">
        <v>3</v>
      </c>
      <c r="J9" s="84" t="s">
        <v>1339</v>
      </c>
      <c r="K9" s="86">
        <v>1</v>
      </c>
      <c r="L9" s="82">
        <v>1</v>
      </c>
      <c r="M9" s="82">
        <f>(H9*10/5)+(H9*24*5/100)</f>
        <v>4800</v>
      </c>
      <c r="N9" s="82">
        <f>(H9*10/5*0.15*5.5)+(H9*24*5/100*0.15*7)</f>
        <v>4365</v>
      </c>
      <c r="O9" s="82">
        <f>((10*H9/5*6.6*5.5)+(10*H9/5*0.15*5.5*2))+((24*H9*5/100*6.6*7)+(24*H9*5/100*0.15*7*2))</f>
        <v>200790</v>
      </c>
      <c r="P9" s="87">
        <v>1</v>
      </c>
      <c r="Q9" s="87">
        <v>1</v>
      </c>
      <c r="R9" s="82">
        <f t="shared" si="1"/>
        <v>2025000</v>
      </c>
      <c r="S9" s="82">
        <f t="shared" si="0"/>
        <v>2025000</v>
      </c>
      <c r="T9" s="82">
        <f t="shared" si="2"/>
        <v>2025000</v>
      </c>
      <c r="U9" s="82">
        <f>S9+T9</f>
        <v>4050000</v>
      </c>
    </row>
    <row r="10" spans="1:21" s="42" customFormat="1" ht="20.25" customHeight="1">
      <c r="A10" s="79">
        <v>4</v>
      </c>
      <c r="B10" s="81" t="s">
        <v>17</v>
      </c>
      <c r="C10" s="325" t="s">
        <v>933</v>
      </c>
      <c r="D10" s="261" t="s">
        <v>377</v>
      </c>
      <c r="E10" s="81" t="s">
        <v>378</v>
      </c>
      <c r="F10" s="81" t="s">
        <v>1112</v>
      </c>
      <c r="G10" s="66">
        <v>22</v>
      </c>
      <c r="H10" s="82">
        <v>1500</v>
      </c>
      <c r="I10" s="82">
        <v>4</v>
      </c>
      <c r="J10" s="88" t="s">
        <v>33</v>
      </c>
      <c r="K10" s="89">
        <v>1</v>
      </c>
      <c r="L10" s="82">
        <v>0</v>
      </c>
      <c r="M10" s="82">
        <f aca="true" t="shared" si="3" ref="M10:M18">G10*H10/5</f>
        <v>6600</v>
      </c>
      <c r="N10" s="82">
        <f>M10*0.15*5.5</f>
        <v>5445</v>
      </c>
      <c r="O10" s="82">
        <f>M10*6.6*5.5+N10*2</f>
        <v>250470</v>
      </c>
      <c r="P10" s="82">
        <v>1</v>
      </c>
      <c r="Q10" s="82">
        <v>1</v>
      </c>
      <c r="R10" s="82">
        <f t="shared" si="1"/>
        <v>2025000</v>
      </c>
      <c r="S10" s="82">
        <f t="shared" si="0"/>
        <v>2025000</v>
      </c>
      <c r="T10" s="82">
        <f t="shared" si="2"/>
        <v>0</v>
      </c>
      <c r="U10" s="82">
        <f aca="true" t="shared" si="4" ref="U10:U83">R10*P10*Q10</f>
        <v>2025000</v>
      </c>
    </row>
    <row r="11" spans="1:21" s="42" customFormat="1" ht="20.25" customHeight="1">
      <c r="A11" s="79">
        <v>5</v>
      </c>
      <c r="B11" s="80" t="s">
        <v>17</v>
      </c>
      <c r="C11" s="326" t="s">
        <v>928</v>
      </c>
      <c r="D11" s="262" t="s">
        <v>379</v>
      </c>
      <c r="E11" s="80" t="s">
        <v>374</v>
      </c>
      <c r="F11" s="80" t="s">
        <v>1138</v>
      </c>
      <c r="G11" s="66">
        <v>28</v>
      </c>
      <c r="H11" s="82">
        <v>2000</v>
      </c>
      <c r="I11" s="82">
        <v>4</v>
      </c>
      <c r="J11" s="84" t="s">
        <v>62</v>
      </c>
      <c r="K11" s="89">
        <v>1</v>
      </c>
      <c r="L11" s="82">
        <v>0</v>
      </c>
      <c r="M11" s="82">
        <f t="shared" si="3"/>
        <v>11200</v>
      </c>
      <c r="N11" s="82">
        <f>M11*0.15*5.5</f>
        <v>9240</v>
      </c>
      <c r="O11" s="82">
        <f>M11*6.6*5.5+N11*2</f>
        <v>425040</v>
      </c>
      <c r="P11" s="82">
        <v>1</v>
      </c>
      <c r="Q11" s="82">
        <v>1</v>
      </c>
      <c r="R11" s="82">
        <f t="shared" si="1"/>
        <v>2025000</v>
      </c>
      <c r="S11" s="82">
        <f t="shared" si="0"/>
        <v>2025000</v>
      </c>
      <c r="T11" s="82">
        <f t="shared" si="2"/>
        <v>0</v>
      </c>
      <c r="U11" s="82">
        <f t="shared" si="4"/>
        <v>2025000</v>
      </c>
    </row>
    <row r="12" spans="1:21" s="42" customFormat="1" ht="20.25" customHeight="1">
      <c r="A12" s="79">
        <v>6</v>
      </c>
      <c r="B12" s="80" t="s">
        <v>17</v>
      </c>
      <c r="C12" s="326" t="s">
        <v>929</v>
      </c>
      <c r="D12" s="262" t="s">
        <v>379</v>
      </c>
      <c r="E12" s="80" t="s">
        <v>374</v>
      </c>
      <c r="F12" s="80" t="s">
        <v>1138</v>
      </c>
      <c r="G12" s="66">
        <v>28</v>
      </c>
      <c r="H12" s="82">
        <v>2000</v>
      </c>
      <c r="I12" s="82">
        <v>4</v>
      </c>
      <c r="J12" s="84" t="s">
        <v>40</v>
      </c>
      <c r="K12" s="89">
        <v>1</v>
      </c>
      <c r="L12" s="82">
        <v>0</v>
      </c>
      <c r="M12" s="82">
        <f t="shared" si="3"/>
        <v>11200</v>
      </c>
      <c r="N12" s="82">
        <f aca="true" t="shared" si="5" ref="N12:N39">M12*0.15*5.5</f>
        <v>9240</v>
      </c>
      <c r="O12" s="82">
        <f aca="true" t="shared" si="6" ref="O12:O18">M12*6.6*5.5+N12*2</f>
        <v>425040</v>
      </c>
      <c r="P12" s="82">
        <v>1</v>
      </c>
      <c r="Q12" s="82">
        <v>1</v>
      </c>
      <c r="R12" s="82">
        <f t="shared" si="1"/>
        <v>2025000</v>
      </c>
      <c r="S12" s="82">
        <f t="shared" si="0"/>
        <v>2025000</v>
      </c>
      <c r="T12" s="82">
        <f t="shared" si="2"/>
        <v>0</v>
      </c>
      <c r="U12" s="82">
        <f t="shared" si="4"/>
        <v>2025000</v>
      </c>
    </row>
    <row r="13" spans="1:21" s="42" customFormat="1" ht="20.25" customHeight="1">
      <c r="A13" s="79">
        <v>7</v>
      </c>
      <c r="B13" s="81" t="s">
        <v>17</v>
      </c>
      <c r="C13" s="325" t="s">
        <v>1438</v>
      </c>
      <c r="D13" s="261" t="s">
        <v>380</v>
      </c>
      <c r="E13" s="81" t="s">
        <v>378</v>
      </c>
      <c r="F13" s="81" t="s">
        <v>1112</v>
      </c>
      <c r="G13" s="66">
        <v>17</v>
      </c>
      <c r="H13" s="82">
        <v>3600</v>
      </c>
      <c r="I13" s="82">
        <v>7</v>
      </c>
      <c r="J13" s="88" t="s">
        <v>43</v>
      </c>
      <c r="K13" s="89">
        <v>1</v>
      </c>
      <c r="L13" s="82">
        <v>0</v>
      </c>
      <c r="M13" s="82">
        <f t="shared" si="3"/>
        <v>12240</v>
      </c>
      <c r="N13" s="82">
        <f t="shared" si="5"/>
        <v>10098</v>
      </c>
      <c r="O13" s="82">
        <f t="shared" si="6"/>
        <v>464508</v>
      </c>
      <c r="P13" s="82">
        <v>1</v>
      </c>
      <c r="Q13" s="82">
        <v>1</v>
      </c>
      <c r="R13" s="82">
        <f t="shared" si="1"/>
        <v>2025000</v>
      </c>
      <c r="S13" s="82">
        <f t="shared" si="0"/>
        <v>2025000</v>
      </c>
      <c r="T13" s="82">
        <f t="shared" si="2"/>
        <v>0</v>
      </c>
      <c r="U13" s="82">
        <f t="shared" si="4"/>
        <v>2025000</v>
      </c>
    </row>
    <row r="14" spans="1:21" s="42" customFormat="1" ht="20.25" customHeight="1">
      <c r="A14" s="79">
        <v>8</v>
      </c>
      <c r="B14" s="81" t="s">
        <v>17</v>
      </c>
      <c r="C14" s="327" t="s">
        <v>381</v>
      </c>
      <c r="D14" s="105" t="s">
        <v>382</v>
      </c>
      <c r="E14" s="81" t="s">
        <v>378</v>
      </c>
      <c r="F14" s="81" t="s">
        <v>1151</v>
      </c>
      <c r="G14" s="66">
        <v>14</v>
      </c>
      <c r="H14" s="83">
        <v>2900</v>
      </c>
      <c r="I14" s="82">
        <v>4</v>
      </c>
      <c r="J14" s="84" t="s">
        <v>62</v>
      </c>
      <c r="K14" s="89">
        <v>1</v>
      </c>
      <c r="L14" s="82">
        <v>0</v>
      </c>
      <c r="M14" s="82">
        <f t="shared" si="3"/>
        <v>8120</v>
      </c>
      <c r="N14" s="82">
        <f t="shared" si="5"/>
        <v>6699</v>
      </c>
      <c r="O14" s="82">
        <f t="shared" si="6"/>
        <v>308154</v>
      </c>
      <c r="P14" s="82">
        <v>1</v>
      </c>
      <c r="Q14" s="82">
        <v>1</v>
      </c>
      <c r="R14" s="82">
        <f t="shared" si="1"/>
        <v>2025000</v>
      </c>
      <c r="S14" s="82">
        <f t="shared" si="0"/>
        <v>2025000</v>
      </c>
      <c r="T14" s="82">
        <f t="shared" si="2"/>
        <v>0</v>
      </c>
      <c r="U14" s="82">
        <f t="shared" si="4"/>
        <v>2025000</v>
      </c>
    </row>
    <row r="15" spans="1:21" s="42" customFormat="1" ht="26.25" customHeight="1">
      <c r="A15" s="79">
        <v>9</v>
      </c>
      <c r="B15" s="81" t="s">
        <v>17</v>
      </c>
      <c r="C15" s="327" t="s">
        <v>964</v>
      </c>
      <c r="D15" s="105" t="s">
        <v>383</v>
      </c>
      <c r="E15" s="81" t="s">
        <v>384</v>
      </c>
      <c r="F15" s="81" t="s">
        <v>1112</v>
      </c>
      <c r="G15" s="66">
        <v>25</v>
      </c>
      <c r="H15" s="83">
        <v>600</v>
      </c>
      <c r="I15" s="82">
        <v>3</v>
      </c>
      <c r="J15" s="84" t="s">
        <v>25</v>
      </c>
      <c r="K15" s="89">
        <v>1</v>
      </c>
      <c r="L15" s="82">
        <v>0</v>
      </c>
      <c r="M15" s="82">
        <f t="shared" si="3"/>
        <v>3000</v>
      </c>
      <c r="N15" s="82">
        <f t="shared" si="5"/>
        <v>2475</v>
      </c>
      <c r="O15" s="82">
        <f t="shared" si="6"/>
        <v>113850</v>
      </c>
      <c r="P15" s="82">
        <v>1</v>
      </c>
      <c r="Q15" s="82">
        <v>1</v>
      </c>
      <c r="R15" s="82">
        <f t="shared" si="1"/>
        <v>2025000</v>
      </c>
      <c r="S15" s="82">
        <f t="shared" si="0"/>
        <v>2025000</v>
      </c>
      <c r="T15" s="82">
        <f t="shared" si="2"/>
        <v>0</v>
      </c>
      <c r="U15" s="82">
        <f t="shared" si="4"/>
        <v>2025000</v>
      </c>
    </row>
    <row r="16" spans="1:21" s="42" customFormat="1" ht="26.25" customHeight="1">
      <c r="A16" s="79">
        <v>10</v>
      </c>
      <c r="B16" s="81" t="s">
        <v>17</v>
      </c>
      <c r="C16" s="327" t="s">
        <v>965</v>
      </c>
      <c r="D16" s="105" t="s">
        <v>383</v>
      </c>
      <c r="E16" s="81" t="s">
        <v>384</v>
      </c>
      <c r="F16" s="81" t="s">
        <v>1112</v>
      </c>
      <c r="G16" s="66">
        <v>25</v>
      </c>
      <c r="H16" s="83">
        <v>600</v>
      </c>
      <c r="I16" s="82">
        <v>3</v>
      </c>
      <c r="J16" s="84" t="s">
        <v>43</v>
      </c>
      <c r="K16" s="89">
        <v>1</v>
      </c>
      <c r="L16" s="82">
        <v>0</v>
      </c>
      <c r="M16" s="82">
        <f t="shared" si="3"/>
        <v>3000</v>
      </c>
      <c r="N16" s="82">
        <f t="shared" si="5"/>
        <v>2475</v>
      </c>
      <c r="O16" s="82">
        <f t="shared" si="6"/>
        <v>113850</v>
      </c>
      <c r="P16" s="82">
        <v>1</v>
      </c>
      <c r="Q16" s="82">
        <v>1</v>
      </c>
      <c r="R16" s="82">
        <f t="shared" si="1"/>
        <v>2025000</v>
      </c>
      <c r="S16" s="82">
        <f t="shared" si="0"/>
        <v>2025000</v>
      </c>
      <c r="T16" s="82">
        <f t="shared" si="2"/>
        <v>0</v>
      </c>
      <c r="U16" s="82">
        <f t="shared" si="4"/>
        <v>2025000</v>
      </c>
    </row>
    <row r="17" spans="1:21" s="42" customFormat="1" ht="26.25" customHeight="1">
      <c r="A17" s="79">
        <v>11</v>
      </c>
      <c r="B17" s="81" t="s">
        <v>17</v>
      </c>
      <c r="C17" s="327" t="s">
        <v>1412</v>
      </c>
      <c r="D17" s="105" t="s">
        <v>1328</v>
      </c>
      <c r="E17" s="81" t="s">
        <v>384</v>
      </c>
      <c r="F17" s="81" t="s">
        <v>1469</v>
      </c>
      <c r="G17" s="66">
        <v>25</v>
      </c>
      <c r="H17" s="83">
        <v>600</v>
      </c>
      <c r="I17" s="82">
        <v>3</v>
      </c>
      <c r="J17" s="84" t="s">
        <v>62</v>
      </c>
      <c r="K17" s="89">
        <v>1</v>
      </c>
      <c r="L17" s="82">
        <v>0</v>
      </c>
      <c r="M17" s="82">
        <f t="shared" si="3"/>
        <v>3000</v>
      </c>
      <c r="N17" s="82">
        <f t="shared" si="5"/>
        <v>2475</v>
      </c>
      <c r="O17" s="82">
        <f t="shared" si="6"/>
        <v>113850</v>
      </c>
      <c r="P17" s="82">
        <v>1</v>
      </c>
      <c r="Q17" s="82">
        <v>1</v>
      </c>
      <c r="R17" s="82">
        <f t="shared" si="1"/>
        <v>2025000</v>
      </c>
      <c r="S17" s="82">
        <f t="shared" si="0"/>
        <v>2025000</v>
      </c>
      <c r="T17" s="82">
        <f t="shared" si="2"/>
        <v>0</v>
      </c>
      <c r="U17" s="82">
        <f t="shared" si="4"/>
        <v>2025000</v>
      </c>
    </row>
    <row r="18" spans="1:21" s="42" customFormat="1" ht="20.25" customHeight="1">
      <c r="A18" s="79">
        <v>12</v>
      </c>
      <c r="B18" s="81" t="s">
        <v>17</v>
      </c>
      <c r="C18" s="325" t="s">
        <v>934</v>
      </c>
      <c r="D18" s="261" t="s">
        <v>385</v>
      </c>
      <c r="E18" s="81" t="s">
        <v>386</v>
      </c>
      <c r="F18" s="81" t="s">
        <v>1112</v>
      </c>
      <c r="G18" s="66">
        <v>12</v>
      </c>
      <c r="H18" s="82">
        <v>2000</v>
      </c>
      <c r="I18" s="82">
        <v>4</v>
      </c>
      <c r="J18" s="88" t="s">
        <v>21</v>
      </c>
      <c r="K18" s="89">
        <v>1</v>
      </c>
      <c r="L18" s="82">
        <v>0</v>
      </c>
      <c r="M18" s="82">
        <f t="shared" si="3"/>
        <v>4800</v>
      </c>
      <c r="N18" s="82">
        <f t="shared" si="5"/>
        <v>3960</v>
      </c>
      <c r="O18" s="82">
        <f t="shared" si="6"/>
        <v>182160</v>
      </c>
      <c r="P18" s="82">
        <v>1</v>
      </c>
      <c r="Q18" s="82">
        <v>1</v>
      </c>
      <c r="R18" s="82">
        <f t="shared" si="1"/>
        <v>2025000</v>
      </c>
      <c r="S18" s="82">
        <f t="shared" si="0"/>
        <v>2025000</v>
      </c>
      <c r="T18" s="82">
        <f t="shared" si="2"/>
        <v>0</v>
      </c>
      <c r="U18" s="82">
        <f t="shared" si="4"/>
        <v>2025000</v>
      </c>
    </row>
    <row r="19" spans="1:21" s="42" customFormat="1" ht="20.25" customHeight="1">
      <c r="A19" s="79">
        <v>13</v>
      </c>
      <c r="B19" s="81" t="s">
        <v>17</v>
      </c>
      <c r="C19" s="328" t="s">
        <v>436</v>
      </c>
      <c r="D19" s="90" t="s">
        <v>437</v>
      </c>
      <c r="E19" s="90" t="s">
        <v>374</v>
      </c>
      <c r="F19" s="81" t="s">
        <v>1112</v>
      </c>
      <c r="G19" s="66">
        <v>22</v>
      </c>
      <c r="H19" s="82">
        <v>1000</v>
      </c>
      <c r="I19" s="82">
        <v>2</v>
      </c>
      <c r="J19" s="88" t="s">
        <v>62</v>
      </c>
      <c r="K19" s="89">
        <v>1</v>
      </c>
      <c r="L19" s="82">
        <v>0</v>
      </c>
      <c r="M19" s="82">
        <f>G19*H19*5/100</f>
        <v>1100</v>
      </c>
      <c r="N19" s="82">
        <f>M19*0.15*7</f>
        <v>1155</v>
      </c>
      <c r="O19" s="82">
        <f>M19*6.6*7+N19*2</f>
        <v>53130</v>
      </c>
      <c r="P19" s="82">
        <v>1</v>
      </c>
      <c r="Q19" s="82">
        <v>1</v>
      </c>
      <c r="R19" s="82">
        <f t="shared" si="1"/>
        <v>2025000</v>
      </c>
      <c r="S19" s="82">
        <f t="shared" si="0"/>
        <v>2025000</v>
      </c>
      <c r="T19" s="82">
        <f t="shared" si="2"/>
        <v>0</v>
      </c>
      <c r="U19" s="82">
        <f t="shared" si="4"/>
        <v>2025000</v>
      </c>
    </row>
    <row r="20" spans="1:21" s="42" customFormat="1" ht="20.25" customHeight="1">
      <c r="A20" s="79">
        <v>14</v>
      </c>
      <c r="B20" s="81" t="s">
        <v>46</v>
      </c>
      <c r="C20" s="327" t="s">
        <v>433</v>
      </c>
      <c r="D20" s="105" t="s">
        <v>434</v>
      </c>
      <c r="E20" s="81" t="s">
        <v>374</v>
      </c>
      <c r="F20" s="81" t="s">
        <v>1140</v>
      </c>
      <c r="G20" s="66">
        <v>31</v>
      </c>
      <c r="H20" s="82">
        <v>1200</v>
      </c>
      <c r="I20" s="82">
        <v>3</v>
      </c>
      <c r="J20" s="88" t="s">
        <v>62</v>
      </c>
      <c r="K20" s="89">
        <v>1</v>
      </c>
      <c r="L20" s="82">
        <v>0</v>
      </c>
      <c r="M20" s="82">
        <f>G20*H20*5/100</f>
        <v>1860</v>
      </c>
      <c r="N20" s="82">
        <f>M20*0.15*7</f>
        <v>1953</v>
      </c>
      <c r="O20" s="82">
        <f>M20*6.6*7+N20*2</f>
        <v>89838</v>
      </c>
      <c r="P20" s="87">
        <v>1</v>
      </c>
      <c r="Q20" s="87">
        <v>1</v>
      </c>
      <c r="R20" s="82">
        <f t="shared" si="1"/>
        <v>2025000</v>
      </c>
      <c r="S20" s="82">
        <f t="shared" si="0"/>
        <v>2025000</v>
      </c>
      <c r="T20" s="82">
        <f t="shared" si="2"/>
        <v>0</v>
      </c>
      <c r="U20" s="82">
        <f t="shared" si="4"/>
        <v>2025000</v>
      </c>
    </row>
    <row r="21" spans="1:21" s="42" customFormat="1" ht="20.25" customHeight="1">
      <c r="A21" s="79">
        <v>15</v>
      </c>
      <c r="B21" s="81" t="s">
        <v>46</v>
      </c>
      <c r="C21" s="327" t="s">
        <v>435</v>
      </c>
      <c r="D21" s="105" t="s">
        <v>434</v>
      </c>
      <c r="E21" s="81" t="s">
        <v>374</v>
      </c>
      <c r="F21" s="81" t="s">
        <v>1112</v>
      </c>
      <c r="G21" s="66">
        <v>31</v>
      </c>
      <c r="H21" s="82">
        <v>1200</v>
      </c>
      <c r="I21" s="82">
        <v>3</v>
      </c>
      <c r="J21" s="88" t="s">
        <v>62</v>
      </c>
      <c r="K21" s="89">
        <v>1</v>
      </c>
      <c r="L21" s="82">
        <v>0</v>
      </c>
      <c r="M21" s="82">
        <f aca="true" t="shared" si="7" ref="M21:M40">G21*H21/5</f>
        <v>7440</v>
      </c>
      <c r="N21" s="82">
        <f t="shared" si="5"/>
        <v>6138</v>
      </c>
      <c r="O21" s="82">
        <f>M21*6.6*5.5+N21*2</f>
        <v>282348</v>
      </c>
      <c r="P21" s="87">
        <v>1</v>
      </c>
      <c r="Q21" s="87">
        <v>1</v>
      </c>
      <c r="R21" s="82">
        <f t="shared" si="1"/>
        <v>2025000</v>
      </c>
      <c r="S21" s="82">
        <f t="shared" si="0"/>
        <v>2025000</v>
      </c>
      <c r="T21" s="82">
        <f t="shared" si="2"/>
        <v>0</v>
      </c>
      <c r="U21" s="82">
        <f t="shared" si="4"/>
        <v>2025000</v>
      </c>
    </row>
    <row r="22" spans="1:21" s="42" customFormat="1" ht="20.25" customHeight="1">
      <c r="A22" s="79">
        <v>16</v>
      </c>
      <c r="B22" s="81" t="s">
        <v>17</v>
      </c>
      <c r="C22" s="325" t="s">
        <v>387</v>
      </c>
      <c r="D22" s="261" t="s">
        <v>388</v>
      </c>
      <c r="E22" s="81" t="s">
        <v>389</v>
      </c>
      <c r="F22" s="80" t="s">
        <v>1138</v>
      </c>
      <c r="G22" s="66">
        <v>20</v>
      </c>
      <c r="H22" s="82">
        <v>1500</v>
      </c>
      <c r="I22" s="82">
        <v>3</v>
      </c>
      <c r="J22" s="88" t="s">
        <v>21</v>
      </c>
      <c r="K22" s="89">
        <v>1</v>
      </c>
      <c r="L22" s="82">
        <v>0</v>
      </c>
      <c r="M22" s="82">
        <f t="shared" si="7"/>
        <v>6000</v>
      </c>
      <c r="N22" s="82">
        <f t="shared" si="5"/>
        <v>4950</v>
      </c>
      <c r="O22" s="82">
        <f>M22*6.6*7</f>
        <v>277200</v>
      </c>
      <c r="P22" s="82">
        <v>1</v>
      </c>
      <c r="Q22" s="82">
        <v>1</v>
      </c>
      <c r="R22" s="82">
        <f t="shared" si="1"/>
        <v>2025000</v>
      </c>
      <c r="S22" s="82">
        <f t="shared" si="0"/>
        <v>2025000</v>
      </c>
      <c r="T22" s="82">
        <f t="shared" si="2"/>
        <v>0</v>
      </c>
      <c r="U22" s="82">
        <f t="shared" si="4"/>
        <v>2025000</v>
      </c>
    </row>
    <row r="23" spans="1:22" s="47" customFormat="1" ht="20.25" customHeight="1">
      <c r="A23" s="79">
        <v>17</v>
      </c>
      <c r="B23" s="80" t="s">
        <v>34</v>
      </c>
      <c r="C23" s="326" t="s">
        <v>1035</v>
      </c>
      <c r="D23" s="262" t="s">
        <v>390</v>
      </c>
      <c r="E23" s="80" t="s">
        <v>378</v>
      </c>
      <c r="F23" s="80" t="s">
        <v>1138</v>
      </c>
      <c r="G23" s="66">
        <v>5</v>
      </c>
      <c r="H23" s="82">
        <v>8000</v>
      </c>
      <c r="I23" s="82">
        <v>2</v>
      </c>
      <c r="J23" s="84" t="s">
        <v>40</v>
      </c>
      <c r="K23" s="89">
        <v>1</v>
      </c>
      <c r="L23" s="82">
        <v>0</v>
      </c>
      <c r="M23" s="82">
        <f t="shared" si="7"/>
        <v>8000</v>
      </c>
      <c r="N23" s="82">
        <f t="shared" si="5"/>
        <v>6600</v>
      </c>
      <c r="O23" s="82">
        <f>M23*6.6*7</f>
        <v>369600</v>
      </c>
      <c r="P23" s="82">
        <v>1</v>
      </c>
      <c r="Q23" s="82">
        <v>1</v>
      </c>
      <c r="R23" s="82">
        <f t="shared" si="1"/>
        <v>2025000</v>
      </c>
      <c r="S23" s="82">
        <f t="shared" si="0"/>
        <v>2025000</v>
      </c>
      <c r="T23" s="82">
        <f t="shared" si="2"/>
        <v>0</v>
      </c>
      <c r="U23" s="82">
        <f t="shared" si="4"/>
        <v>2025000</v>
      </c>
      <c r="V23" s="42"/>
    </row>
    <row r="24" spans="1:22" s="47" customFormat="1" ht="20.25" customHeight="1">
      <c r="A24" s="79">
        <v>18</v>
      </c>
      <c r="B24" s="80" t="s">
        <v>34</v>
      </c>
      <c r="C24" s="326" t="s">
        <v>1036</v>
      </c>
      <c r="D24" s="262" t="s">
        <v>1037</v>
      </c>
      <c r="E24" s="80" t="s">
        <v>378</v>
      </c>
      <c r="F24" s="80" t="s">
        <v>1138</v>
      </c>
      <c r="G24" s="66">
        <v>5</v>
      </c>
      <c r="H24" s="82">
        <v>8000</v>
      </c>
      <c r="I24" s="82">
        <v>2</v>
      </c>
      <c r="J24" s="84" t="s">
        <v>21</v>
      </c>
      <c r="K24" s="89">
        <v>1</v>
      </c>
      <c r="L24" s="82">
        <v>0</v>
      </c>
      <c r="M24" s="82">
        <f t="shared" si="7"/>
        <v>8000</v>
      </c>
      <c r="N24" s="82">
        <f t="shared" si="5"/>
        <v>6600</v>
      </c>
      <c r="O24" s="82">
        <f aca="true" t="shared" si="8" ref="O24:O37">M24*6.6*5.5+N24*2</f>
        <v>303600</v>
      </c>
      <c r="P24" s="82">
        <v>1</v>
      </c>
      <c r="Q24" s="82">
        <v>1</v>
      </c>
      <c r="R24" s="82">
        <f t="shared" si="1"/>
        <v>2025000</v>
      </c>
      <c r="S24" s="82">
        <f t="shared" si="0"/>
        <v>2025000</v>
      </c>
      <c r="T24" s="82">
        <f t="shared" si="2"/>
        <v>0</v>
      </c>
      <c r="U24" s="82">
        <f t="shared" si="4"/>
        <v>2025000</v>
      </c>
      <c r="V24" s="42"/>
    </row>
    <row r="25" spans="1:21" s="42" customFormat="1" ht="24" customHeight="1">
      <c r="A25" s="79">
        <v>19</v>
      </c>
      <c r="B25" s="81" t="s">
        <v>17</v>
      </c>
      <c r="C25" s="327" t="s">
        <v>1439</v>
      </c>
      <c r="D25" s="105" t="s">
        <v>391</v>
      </c>
      <c r="E25" s="81" t="s">
        <v>378</v>
      </c>
      <c r="F25" s="81" t="s">
        <v>1141</v>
      </c>
      <c r="G25" s="66">
        <v>16</v>
      </c>
      <c r="H25" s="83">
        <v>1000</v>
      </c>
      <c r="I25" s="82">
        <v>2</v>
      </c>
      <c r="J25" s="84" t="s">
        <v>62</v>
      </c>
      <c r="K25" s="89">
        <v>1</v>
      </c>
      <c r="L25" s="82">
        <v>0</v>
      </c>
      <c r="M25" s="82">
        <f t="shared" si="7"/>
        <v>3200</v>
      </c>
      <c r="N25" s="82">
        <f t="shared" si="5"/>
        <v>2640</v>
      </c>
      <c r="O25" s="82">
        <f>M25*6.6*7</f>
        <v>147840</v>
      </c>
      <c r="P25" s="82">
        <v>1</v>
      </c>
      <c r="Q25" s="82">
        <v>1</v>
      </c>
      <c r="R25" s="82">
        <f t="shared" si="1"/>
        <v>2025000</v>
      </c>
      <c r="S25" s="82">
        <f t="shared" si="0"/>
        <v>2025000</v>
      </c>
      <c r="T25" s="82">
        <f t="shared" si="2"/>
        <v>0</v>
      </c>
      <c r="U25" s="82">
        <f t="shared" si="4"/>
        <v>2025000</v>
      </c>
    </row>
    <row r="26" spans="1:21" s="42" customFormat="1" ht="20.25" customHeight="1">
      <c r="A26" s="79">
        <v>20</v>
      </c>
      <c r="B26" s="81" t="s">
        <v>34</v>
      </c>
      <c r="C26" s="325" t="s">
        <v>392</v>
      </c>
      <c r="D26" s="261" t="s">
        <v>393</v>
      </c>
      <c r="E26" s="81" t="s">
        <v>378</v>
      </c>
      <c r="F26" s="80" t="s">
        <v>1138</v>
      </c>
      <c r="G26" s="66">
        <v>20</v>
      </c>
      <c r="H26" s="82">
        <v>1500</v>
      </c>
      <c r="I26" s="82">
        <v>2</v>
      </c>
      <c r="J26" s="88" t="s">
        <v>21</v>
      </c>
      <c r="K26" s="89">
        <v>1</v>
      </c>
      <c r="L26" s="82">
        <v>0</v>
      </c>
      <c r="M26" s="82">
        <f t="shared" si="7"/>
        <v>6000</v>
      </c>
      <c r="N26" s="82">
        <f t="shared" si="5"/>
        <v>4950</v>
      </c>
      <c r="O26" s="82">
        <f>M26*6.6*7</f>
        <v>277200</v>
      </c>
      <c r="P26" s="82">
        <v>1</v>
      </c>
      <c r="Q26" s="82">
        <v>1</v>
      </c>
      <c r="R26" s="82">
        <f t="shared" si="1"/>
        <v>2025000</v>
      </c>
      <c r="S26" s="82">
        <f t="shared" si="0"/>
        <v>2025000</v>
      </c>
      <c r="T26" s="82">
        <f t="shared" si="2"/>
        <v>0</v>
      </c>
      <c r="U26" s="82">
        <f t="shared" si="4"/>
        <v>2025000</v>
      </c>
    </row>
    <row r="27" spans="1:21" s="42" customFormat="1" ht="20.25" customHeight="1">
      <c r="A27" s="79">
        <v>21</v>
      </c>
      <c r="B27" s="81" t="s">
        <v>34</v>
      </c>
      <c r="C27" s="325" t="s">
        <v>394</v>
      </c>
      <c r="D27" s="261" t="s">
        <v>395</v>
      </c>
      <c r="E27" s="81" t="s">
        <v>396</v>
      </c>
      <c r="F27" s="80" t="s">
        <v>1138</v>
      </c>
      <c r="G27" s="66">
        <v>7</v>
      </c>
      <c r="H27" s="82">
        <v>4000</v>
      </c>
      <c r="I27" s="82">
        <v>8</v>
      </c>
      <c r="J27" s="88" t="s">
        <v>50</v>
      </c>
      <c r="K27" s="89">
        <v>1</v>
      </c>
      <c r="L27" s="82">
        <v>0</v>
      </c>
      <c r="M27" s="82">
        <f t="shared" si="7"/>
        <v>5600</v>
      </c>
      <c r="N27" s="82">
        <f t="shared" si="5"/>
        <v>4620</v>
      </c>
      <c r="O27" s="82">
        <f t="shared" si="8"/>
        <v>212520</v>
      </c>
      <c r="P27" s="82">
        <v>1</v>
      </c>
      <c r="Q27" s="82">
        <v>1</v>
      </c>
      <c r="R27" s="82">
        <f t="shared" si="1"/>
        <v>2025000</v>
      </c>
      <c r="S27" s="82">
        <f t="shared" si="0"/>
        <v>2025000</v>
      </c>
      <c r="T27" s="82">
        <f t="shared" si="2"/>
        <v>0</v>
      </c>
      <c r="U27" s="82">
        <f t="shared" si="4"/>
        <v>2025000</v>
      </c>
    </row>
    <row r="28" spans="1:21" s="42" customFormat="1" ht="20.25" customHeight="1">
      <c r="A28" s="79">
        <v>22</v>
      </c>
      <c r="B28" s="81" t="s">
        <v>17</v>
      </c>
      <c r="C28" s="327" t="s">
        <v>397</v>
      </c>
      <c r="D28" s="105" t="s">
        <v>398</v>
      </c>
      <c r="E28" s="81" t="s">
        <v>389</v>
      </c>
      <c r="F28" s="80" t="s">
        <v>1138</v>
      </c>
      <c r="G28" s="66">
        <v>13</v>
      </c>
      <c r="H28" s="82">
        <v>2856</v>
      </c>
      <c r="I28" s="82">
        <v>2</v>
      </c>
      <c r="J28" s="84" t="s">
        <v>25</v>
      </c>
      <c r="K28" s="89">
        <v>1</v>
      </c>
      <c r="L28" s="82">
        <v>0</v>
      </c>
      <c r="M28" s="82">
        <f t="shared" si="7"/>
        <v>7425.6</v>
      </c>
      <c r="N28" s="82">
        <f t="shared" si="5"/>
        <v>6126.12</v>
      </c>
      <c r="O28" s="82">
        <f t="shared" si="8"/>
        <v>281801.51999999996</v>
      </c>
      <c r="P28" s="82">
        <v>1</v>
      </c>
      <c r="Q28" s="82">
        <v>1</v>
      </c>
      <c r="R28" s="82">
        <f t="shared" si="1"/>
        <v>2025000</v>
      </c>
      <c r="S28" s="82">
        <f t="shared" si="0"/>
        <v>2025000</v>
      </c>
      <c r="T28" s="82">
        <f t="shared" si="2"/>
        <v>0</v>
      </c>
      <c r="U28" s="82">
        <f t="shared" si="4"/>
        <v>2025000</v>
      </c>
    </row>
    <row r="29" spans="1:21" s="42" customFormat="1" ht="20.25" customHeight="1">
      <c r="A29" s="79">
        <v>23</v>
      </c>
      <c r="B29" s="81" t="s">
        <v>17</v>
      </c>
      <c r="C29" s="325" t="s">
        <v>399</v>
      </c>
      <c r="D29" s="261" t="s">
        <v>400</v>
      </c>
      <c r="E29" s="81" t="s">
        <v>378</v>
      </c>
      <c r="F29" s="80" t="s">
        <v>1138</v>
      </c>
      <c r="G29" s="66">
        <v>15</v>
      </c>
      <c r="H29" s="82">
        <v>850</v>
      </c>
      <c r="I29" s="82">
        <v>4</v>
      </c>
      <c r="J29" s="88" t="s">
        <v>50</v>
      </c>
      <c r="K29" s="89">
        <v>1</v>
      </c>
      <c r="L29" s="82">
        <v>0</v>
      </c>
      <c r="M29" s="82">
        <f t="shared" si="7"/>
        <v>2550</v>
      </c>
      <c r="N29" s="82">
        <f t="shared" si="5"/>
        <v>2103.75</v>
      </c>
      <c r="O29" s="82">
        <f t="shared" si="8"/>
        <v>96772.5</v>
      </c>
      <c r="P29" s="82">
        <v>1</v>
      </c>
      <c r="Q29" s="82">
        <v>1</v>
      </c>
      <c r="R29" s="82">
        <f t="shared" si="1"/>
        <v>2025000</v>
      </c>
      <c r="S29" s="82">
        <f t="shared" si="0"/>
        <v>2025000</v>
      </c>
      <c r="T29" s="82">
        <f t="shared" si="2"/>
        <v>0</v>
      </c>
      <c r="U29" s="82">
        <f t="shared" si="4"/>
        <v>2025000</v>
      </c>
    </row>
    <row r="30" spans="1:21" s="42" customFormat="1" ht="20.25" customHeight="1">
      <c r="A30" s="79">
        <v>24</v>
      </c>
      <c r="B30" s="80" t="s">
        <v>17</v>
      </c>
      <c r="C30" s="326" t="s">
        <v>401</v>
      </c>
      <c r="D30" s="105" t="s">
        <v>944</v>
      </c>
      <c r="E30" s="80" t="s">
        <v>402</v>
      </c>
      <c r="F30" s="80" t="s">
        <v>1138</v>
      </c>
      <c r="G30" s="66">
        <v>17</v>
      </c>
      <c r="H30" s="82">
        <v>900</v>
      </c>
      <c r="I30" s="82">
        <v>2</v>
      </c>
      <c r="J30" s="84" t="s">
        <v>40</v>
      </c>
      <c r="K30" s="89">
        <v>1</v>
      </c>
      <c r="L30" s="82">
        <v>0</v>
      </c>
      <c r="M30" s="82">
        <f t="shared" si="7"/>
        <v>3060</v>
      </c>
      <c r="N30" s="82">
        <f t="shared" si="5"/>
        <v>2524.5</v>
      </c>
      <c r="O30" s="82">
        <f t="shared" si="8"/>
        <v>116127</v>
      </c>
      <c r="P30" s="82">
        <v>1</v>
      </c>
      <c r="Q30" s="82">
        <v>1</v>
      </c>
      <c r="R30" s="82">
        <f t="shared" si="1"/>
        <v>2025000</v>
      </c>
      <c r="S30" s="82">
        <f t="shared" si="0"/>
        <v>2025000</v>
      </c>
      <c r="T30" s="82">
        <f t="shared" si="2"/>
        <v>0</v>
      </c>
      <c r="U30" s="82">
        <f t="shared" si="4"/>
        <v>2025000</v>
      </c>
    </row>
    <row r="31" spans="1:21" s="42" customFormat="1" ht="20.25" customHeight="1">
      <c r="A31" s="79">
        <v>25</v>
      </c>
      <c r="B31" s="81" t="s">
        <v>17</v>
      </c>
      <c r="C31" s="327" t="s">
        <v>403</v>
      </c>
      <c r="D31" s="105" t="s">
        <v>404</v>
      </c>
      <c r="E31" s="81" t="s">
        <v>374</v>
      </c>
      <c r="F31" s="81" t="s">
        <v>1152</v>
      </c>
      <c r="G31" s="66">
        <v>17</v>
      </c>
      <c r="H31" s="83">
        <v>950</v>
      </c>
      <c r="I31" s="82">
        <v>3</v>
      </c>
      <c r="J31" s="88" t="s">
        <v>62</v>
      </c>
      <c r="K31" s="89">
        <v>1</v>
      </c>
      <c r="L31" s="82">
        <v>0</v>
      </c>
      <c r="M31" s="82">
        <f t="shared" si="7"/>
        <v>3230</v>
      </c>
      <c r="N31" s="82">
        <f t="shared" si="5"/>
        <v>2664.75</v>
      </c>
      <c r="O31" s="82">
        <f>M31*6.6*7</f>
        <v>149226</v>
      </c>
      <c r="P31" s="87">
        <v>1</v>
      </c>
      <c r="Q31" s="87">
        <v>1</v>
      </c>
      <c r="R31" s="82">
        <f t="shared" si="1"/>
        <v>2025000</v>
      </c>
      <c r="S31" s="82">
        <f t="shared" si="0"/>
        <v>2025000</v>
      </c>
      <c r="T31" s="82">
        <f t="shared" si="2"/>
        <v>0</v>
      </c>
      <c r="U31" s="82">
        <f t="shared" si="4"/>
        <v>2025000</v>
      </c>
    </row>
    <row r="32" spans="1:21" s="42" customFormat="1" ht="24.75" customHeight="1">
      <c r="A32" s="79">
        <v>26</v>
      </c>
      <c r="B32" s="81" t="s">
        <v>34</v>
      </c>
      <c r="C32" s="327" t="s">
        <v>1440</v>
      </c>
      <c r="D32" s="105" t="s">
        <v>379</v>
      </c>
      <c r="E32" s="81" t="s">
        <v>374</v>
      </c>
      <c r="F32" s="80" t="s">
        <v>1138</v>
      </c>
      <c r="G32" s="66">
        <v>1</v>
      </c>
      <c r="H32" s="82">
        <v>8000</v>
      </c>
      <c r="I32" s="82">
        <v>2</v>
      </c>
      <c r="J32" s="88" t="s">
        <v>62</v>
      </c>
      <c r="K32" s="89">
        <v>1</v>
      </c>
      <c r="L32" s="82">
        <v>0</v>
      </c>
      <c r="M32" s="82">
        <f t="shared" si="7"/>
        <v>1600</v>
      </c>
      <c r="N32" s="82">
        <f t="shared" si="5"/>
        <v>1320</v>
      </c>
      <c r="O32" s="82">
        <f t="shared" si="8"/>
        <v>60720</v>
      </c>
      <c r="P32" s="82">
        <v>1</v>
      </c>
      <c r="Q32" s="82">
        <v>1</v>
      </c>
      <c r="R32" s="82">
        <f t="shared" si="1"/>
        <v>2025000</v>
      </c>
      <c r="S32" s="82">
        <f t="shared" si="0"/>
        <v>2025000</v>
      </c>
      <c r="T32" s="82">
        <f t="shared" si="2"/>
        <v>0</v>
      </c>
      <c r="U32" s="82">
        <f t="shared" si="4"/>
        <v>2025000</v>
      </c>
    </row>
    <row r="33" spans="1:21" s="42" customFormat="1" ht="20.25" customHeight="1">
      <c r="A33" s="79">
        <v>27</v>
      </c>
      <c r="B33" s="81" t="s">
        <v>17</v>
      </c>
      <c r="C33" s="327" t="s">
        <v>405</v>
      </c>
      <c r="D33" s="105" t="s">
        <v>406</v>
      </c>
      <c r="E33" s="81" t="s">
        <v>386</v>
      </c>
      <c r="F33" s="81" t="s">
        <v>1191</v>
      </c>
      <c r="G33" s="66">
        <v>19</v>
      </c>
      <c r="H33" s="83">
        <v>800</v>
      </c>
      <c r="I33" s="82">
        <v>3</v>
      </c>
      <c r="J33" s="88" t="s">
        <v>25</v>
      </c>
      <c r="K33" s="89">
        <v>1</v>
      </c>
      <c r="L33" s="82">
        <v>0</v>
      </c>
      <c r="M33" s="82">
        <f t="shared" si="7"/>
        <v>3040</v>
      </c>
      <c r="N33" s="82">
        <f t="shared" si="5"/>
        <v>2508</v>
      </c>
      <c r="O33" s="82">
        <f t="shared" si="8"/>
        <v>115368</v>
      </c>
      <c r="P33" s="87">
        <v>1</v>
      </c>
      <c r="Q33" s="87">
        <v>1</v>
      </c>
      <c r="R33" s="82">
        <f t="shared" si="1"/>
        <v>2025000</v>
      </c>
      <c r="S33" s="82">
        <f t="shared" si="0"/>
        <v>2025000</v>
      </c>
      <c r="T33" s="82">
        <f t="shared" si="2"/>
        <v>0</v>
      </c>
      <c r="U33" s="82">
        <f t="shared" si="4"/>
        <v>2025000</v>
      </c>
    </row>
    <row r="34" spans="1:21" s="42" customFormat="1" ht="20.25" customHeight="1">
      <c r="A34" s="79">
        <v>28</v>
      </c>
      <c r="B34" s="81" t="s">
        <v>17</v>
      </c>
      <c r="C34" s="325" t="s">
        <v>407</v>
      </c>
      <c r="D34" s="261" t="s">
        <v>393</v>
      </c>
      <c r="E34" s="81" t="s">
        <v>378</v>
      </c>
      <c r="F34" s="80" t="s">
        <v>1138</v>
      </c>
      <c r="G34" s="66">
        <v>20</v>
      </c>
      <c r="H34" s="82">
        <v>1500</v>
      </c>
      <c r="I34" s="82">
        <v>4</v>
      </c>
      <c r="J34" s="88" t="s">
        <v>40</v>
      </c>
      <c r="K34" s="89">
        <v>1</v>
      </c>
      <c r="L34" s="82">
        <v>0</v>
      </c>
      <c r="M34" s="82">
        <f t="shared" si="7"/>
        <v>6000</v>
      </c>
      <c r="N34" s="82">
        <f t="shared" si="5"/>
        <v>4950</v>
      </c>
      <c r="O34" s="82">
        <f t="shared" si="8"/>
        <v>227700</v>
      </c>
      <c r="P34" s="82">
        <v>1</v>
      </c>
      <c r="Q34" s="82">
        <v>1</v>
      </c>
      <c r="R34" s="82">
        <f t="shared" si="1"/>
        <v>2025000</v>
      </c>
      <c r="S34" s="82">
        <f t="shared" si="0"/>
        <v>2025000</v>
      </c>
      <c r="T34" s="82">
        <f t="shared" si="2"/>
        <v>0</v>
      </c>
      <c r="U34" s="82">
        <f t="shared" si="4"/>
        <v>2025000</v>
      </c>
    </row>
    <row r="35" spans="1:21" s="42" customFormat="1" ht="20.25" customHeight="1">
      <c r="A35" s="79">
        <v>29</v>
      </c>
      <c r="B35" s="81" t="s">
        <v>17</v>
      </c>
      <c r="C35" s="325" t="s">
        <v>408</v>
      </c>
      <c r="D35" s="261" t="s">
        <v>409</v>
      </c>
      <c r="E35" s="81" t="s">
        <v>386</v>
      </c>
      <c r="F35" s="81" t="s">
        <v>1178</v>
      </c>
      <c r="G35" s="66">
        <v>22</v>
      </c>
      <c r="H35" s="82">
        <v>1500</v>
      </c>
      <c r="I35" s="82">
        <v>6</v>
      </c>
      <c r="J35" s="88" t="s">
        <v>1494</v>
      </c>
      <c r="K35" s="89">
        <v>1</v>
      </c>
      <c r="L35" s="82">
        <v>1</v>
      </c>
      <c r="M35" s="82">
        <f t="shared" si="7"/>
        <v>6600</v>
      </c>
      <c r="N35" s="82">
        <f t="shared" si="5"/>
        <v>5445</v>
      </c>
      <c r="O35" s="82">
        <f t="shared" si="8"/>
        <v>250470</v>
      </c>
      <c r="P35" s="82">
        <v>1</v>
      </c>
      <c r="Q35" s="82">
        <v>1</v>
      </c>
      <c r="R35" s="82">
        <f t="shared" si="1"/>
        <v>2025000</v>
      </c>
      <c r="S35" s="82">
        <f t="shared" si="0"/>
        <v>2025000</v>
      </c>
      <c r="T35" s="82">
        <f t="shared" si="2"/>
        <v>2025000</v>
      </c>
      <c r="U35" s="82">
        <f t="shared" si="4"/>
        <v>2025000</v>
      </c>
    </row>
    <row r="36" spans="1:21" s="42" customFormat="1" ht="20.25" customHeight="1">
      <c r="A36" s="79">
        <v>30</v>
      </c>
      <c r="B36" s="81" t="s">
        <v>17</v>
      </c>
      <c r="C36" s="325" t="s">
        <v>1346</v>
      </c>
      <c r="D36" s="261" t="s">
        <v>410</v>
      </c>
      <c r="E36" s="81" t="s">
        <v>386</v>
      </c>
      <c r="F36" s="81" t="s">
        <v>1179</v>
      </c>
      <c r="G36" s="66">
        <v>17</v>
      </c>
      <c r="H36" s="82">
        <v>1300</v>
      </c>
      <c r="I36" s="82">
        <v>6</v>
      </c>
      <c r="J36" s="88" t="s">
        <v>43</v>
      </c>
      <c r="K36" s="89">
        <v>1</v>
      </c>
      <c r="L36" s="82">
        <v>0</v>
      </c>
      <c r="M36" s="82">
        <f t="shared" si="7"/>
        <v>4420</v>
      </c>
      <c r="N36" s="82">
        <f t="shared" si="5"/>
        <v>3646.5</v>
      </c>
      <c r="O36" s="82">
        <f t="shared" si="8"/>
        <v>167739</v>
      </c>
      <c r="P36" s="82">
        <v>1</v>
      </c>
      <c r="Q36" s="82">
        <v>1</v>
      </c>
      <c r="R36" s="82">
        <f t="shared" si="1"/>
        <v>2025000</v>
      </c>
      <c r="S36" s="82">
        <f t="shared" si="0"/>
        <v>2025000</v>
      </c>
      <c r="T36" s="82">
        <f t="shared" si="2"/>
        <v>0</v>
      </c>
      <c r="U36" s="82">
        <f t="shared" si="4"/>
        <v>2025000</v>
      </c>
    </row>
    <row r="37" spans="1:21" s="42" customFormat="1" ht="20.25" customHeight="1">
      <c r="A37" s="79">
        <v>31</v>
      </c>
      <c r="B37" s="81" t="s">
        <v>17</v>
      </c>
      <c r="C37" s="328" t="s">
        <v>760</v>
      </c>
      <c r="D37" s="90" t="s">
        <v>761</v>
      </c>
      <c r="E37" s="90" t="s">
        <v>386</v>
      </c>
      <c r="F37" s="90" t="s">
        <v>1180</v>
      </c>
      <c r="G37" s="66">
        <v>16</v>
      </c>
      <c r="H37" s="82">
        <v>800</v>
      </c>
      <c r="I37" s="82">
        <v>2</v>
      </c>
      <c r="J37" s="88" t="s">
        <v>77</v>
      </c>
      <c r="K37" s="89">
        <v>1</v>
      </c>
      <c r="L37" s="82">
        <v>0</v>
      </c>
      <c r="M37" s="82">
        <f t="shared" si="7"/>
        <v>2560</v>
      </c>
      <c r="N37" s="82">
        <f t="shared" si="5"/>
        <v>2112</v>
      </c>
      <c r="O37" s="82">
        <f t="shared" si="8"/>
        <v>97152</v>
      </c>
      <c r="P37" s="82">
        <v>1</v>
      </c>
      <c r="Q37" s="82">
        <v>1</v>
      </c>
      <c r="R37" s="82">
        <f t="shared" si="1"/>
        <v>2025000</v>
      </c>
      <c r="S37" s="82">
        <f t="shared" si="0"/>
        <v>2025000</v>
      </c>
      <c r="T37" s="82">
        <f t="shared" si="2"/>
        <v>0</v>
      </c>
      <c r="U37" s="82">
        <f t="shared" si="4"/>
        <v>2025000</v>
      </c>
    </row>
    <row r="38" spans="1:21" s="42" customFormat="1" ht="20.25" customHeight="1">
      <c r="A38" s="79">
        <v>32</v>
      </c>
      <c r="B38" s="81" t="s">
        <v>17</v>
      </c>
      <c r="C38" s="327" t="s">
        <v>1441</v>
      </c>
      <c r="D38" s="105" t="s">
        <v>411</v>
      </c>
      <c r="E38" s="81" t="s">
        <v>402</v>
      </c>
      <c r="F38" s="81" t="s">
        <v>1527</v>
      </c>
      <c r="G38" s="66">
        <v>15</v>
      </c>
      <c r="H38" s="82">
        <v>1200</v>
      </c>
      <c r="I38" s="82">
        <v>4</v>
      </c>
      <c r="J38" s="88" t="s">
        <v>62</v>
      </c>
      <c r="K38" s="89">
        <v>1</v>
      </c>
      <c r="L38" s="82">
        <v>0</v>
      </c>
      <c r="M38" s="82">
        <f t="shared" si="7"/>
        <v>3600</v>
      </c>
      <c r="N38" s="82">
        <f t="shared" si="5"/>
        <v>2970</v>
      </c>
      <c r="O38" s="82">
        <f>M38*6.6*7</f>
        <v>166320</v>
      </c>
      <c r="P38" s="82">
        <v>1</v>
      </c>
      <c r="Q38" s="82">
        <v>1</v>
      </c>
      <c r="R38" s="82">
        <f t="shared" si="1"/>
        <v>2025000</v>
      </c>
      <c r="S38" s="82">
        <f t="shared" si="0"/>
        <v>2025000</v>
      </c>
      <c r="T38" s="82">
        <f t="shared" si="2"/>
        <v>0</v>
      </c>
      <c r="U38" s="82">
        <f t="shared" si="4"/>
        <v>2025000</v>
      </c>
    </row>
    <row r="39" spans="1:21" s="42" customFormat="1" ht="20.25" customHeight="1">
      <c r="A39" s="79">
        <v>33</v>
      </c>
      <c r="B39" s="81" t="s">
        <v>34</v>
      </c>
      <c r="C39" s="325" t="s">
        <v>412</v>
      </c>
      <c r="D39" s="261" t="s">
        <v>413</v>
      </c>
      <c r="E39" s="81" t="s">
        <v>386</v>
      </c>
      <c r="F39" s="81" t="s">
        <v>1112</v>
      </c>
      <c r="G39" s="66">
        <v>7</v>
      </c>
      <c r="H39" s="82">
        <v>1550</v>
      </c>
      <c r="I39" s="82">
        <v>3</v>
      </c>
      <c r="J39" s="88" t="s">
        <v>43</v>
      </c>
      <c r="K39" s="89">
        <v>1</v>
      </c>
      <c r="L39" s="82">
        <v>0</v>
      </c>
      <c r="M39" s="82">
        <f t="shared" si="7"/>
        <v>2170</v>
      </c>
      <c r="N39" s="82">
        <f t="shared" si="5"/>
        <v>1790.25</v>
      </c>
      <c r="O39" s="82">
        <f>M39*6.6*7</f>
        <v>100254</v>
      </c>
      <c r="P39" s="82">
        <v>1</v>
      </c>
      <c r="Q39" s="82">
        <v>1</v>
      </c>
      <c r="R39" s="82">
        <f t="shared" si="1"/>
        <v>2025000</v>
      </c>
      <c r="S39" s="82">
        <f aca="true" t="shared" si="9" ref="S39:S70">R39*Q39*P39*K39</f>
        <v>2025000</v>
      </c>
      <c r="T39" s="82">
        <f t="shared" si="2"/>
        <v>0</v>
      </c>
      <c r="U39" s="82">
        <f t="shared" si="4"/>
        <v>2025000</v>
      </c>
    </row>
    <row r="40" spans="1:21" s="42" customFormat="1" ht="20.25" customHeight="1">
      <c r="A40" s="79">
        <v>34</v>
      </c>
      <c r="B40" s="81" t="s">
        <v>34</v>
      </c>
      <c r="C40" s="325" t="s">
        <v>414</v>
      </c>
      <c r="D40" s="261" t="s">
        <v>413</v>
      </c>
      <c r="E40" s="81" t="s">
        <v>386</v>
      </c>
      <c r="F40" s="81" t="s">
        <v>1112</v>
      </c>
      <c r="G40" s="66">
        <v>7</v>
      </c>
      <c r="H40" s="82">
        <v>1550</v>
      </c>
      <c r="I40" s="82">
        <v>4</v>
      </c>
      <c r="J40" s="88" t="s">
        <v>50</v>
      </c>
      <c r="K40" s="89">
        <v>1</v>
      </c>
      <c r="L40" s="82">
        <v>0</v>
      </c>
      <c r="M40" s="82">
        <f t="shared" si="7"/>
        <v>2170</v>
      </c>
      <c r="N40" s="82">
        <f>M40*0.15*5.5</f>
        <v>1790.25</v>
      </c>
      <c r="O40" s="82">
        <f>M40*6.6*7</f>
        <v>100254</v>
      </c>
      <c r="P40" s="82">
        <v>1</v>
      </c>
      <c r="Q40" s="82">
        <v>1</v>
      </c>
      <c r="R40" s="82">
        <f t="shared" si="1"/>
        <v>2025000</v>
      </c>
      <c r="S40" s="82">
        <f t="shared" si="9"/>
        <v>2025000</v>
      </c>
      <c r="T40" s="82">
        <f t="shared" si="2"/>
        <v>0</v>
      </c>
      <c r="U40" s="82">
        <f t="shared" si="4"/>
        <v>2025000</v>
      </c>
    </row>
    <row r="41" spans="1:21" s="42" customFormat="1" ht="29.25" customHeight="1">
      <c r="A41" s="79">
        <v>35</v>
      </c>
      <c r="B41" s="81" t="s">
        <v>34</v>
      </c>
      <c r="C41" s="325" t="s">
        <v>431</v>
      </c>
      <c r="D41" s="261" t="s">
        <v>413</v>
      </c>
      <c r="E41" s="81" t="s">
        <v>386</v>
      </c>
      <c r="F41" s="81" t="s">
        <v>1112</v>
      </c>
      <c r="G41" s="66">
        <v>7</v>
      </c>
      <c r="H41" s="82">
        <v>1550</v>
      </c>
      <c r="I41" s="82">
        <v>2</v>
      </c>
      <c r="J41" s="88" t="s">
        <v>40</v>
      </c>
      <c r="K41" s="89">
        <v>1</v>
      </c>
      <c r="L41" s="82">
        <v>0</v>
      </c>
      <c r="M41" s="82">
        <f aca="true" t="shared" si="10" ref="M41:M50">G41*H41*5/100</f>
        <v>542.5</v>
      </c>
      <c r="N41" s="82">
        <f>M41*0.15*7</f>
        <v>569.625</v>
      </c>
      <c r="O41" s="82">
        <f aca="true" t="shared" si="11" ref="O41:O64">M41*6.6*7+N41*2</f>
        <v>26202.75</v>
      </c>
      <c r="P41" s="82">
        <v>1</v>
      </c>
      <c r="Q41" s="82">
        <v>1</v>
      </c>
      <c r="R41" s="82">
        <f t="shared" si="1"/>
        <v>2025000</v>
      </c>
      <c r="S41" s="82">
        <f t="shared" si="9"/>
        <v>2025000</v>
      </c>
      <c r="T41" s="82">
        <f>L41*P41*Q41*R41</f>
        <v>0</v>
      </c>
      <c r="U41" s="82">
        <f>R41*P41*Q41</f>
        <v>2025000</v>
      </c>
    </row>
    <row r="42" spans="1:22" s="61" customFormat="1" ht="24">
      <c r="A42" s="91">
        <v>36</v>
      </c>
      <c r="B42" s="92" t="s">
        <v>46</v>
      </c>
      <c r="C42" s="327" t="s">
        <v>1380</v>
      </c>
      <c r="D42" s="263" t="s">
        <v>415</v>
      </c>
      <c r="E42" s="92" t="s">
        <v>384</v>
      </c>
      <c r="F42" s="92" t="s">
        <v>1112</v>
      </c>
      <c r="G42" s="94">
        <v>19</v>
      </c>
      <c r="H42" s="95">
        <v>1750</v>
      </c>
      <c r="I42" s="96">
        <v>4</v>
      </c>
      <c r="J42" s="97" t="s">
        <v>25</v>
      </c>
      <c r="K42" s="98">
        <v>1</v>
      </c>
      <c r="L42" s="96">
        <v>0</v>
      </c>
      <c r="M42" s="82">
        <f t="shared" si="10"/>
        <v>1662.5</v>
      </c>
      <c r="N42" s="82">
        <f aca="true" t="shared" si="12" ref="N42:N63">M42*0.15*7</f>
        <v>1745.625</v>
      </c>
      <c r="O42" s="82">
        <f t="shared" si="11"/>
        <v>80298.75</v>
      </c>
      <c r="P42" s="99">
        <v>1</v>
      </c>
      <c r="Q42" s="99">
        <v>1</v>
      </c>
      <c r="R42" s="96">
        <f t="shared" si="1"/>
        <v>2025000</v>
      </c>
      <c r="S42" s="96">
        <f t="shared" si="9"/>
        <v>2025000</v>
      </c>
      <c r="T42" s="96">
        <f t="shared" si="2"/>
        <v>0</v>
      </c>
      <c r="U42" s="96">
        <f t="shared" si="4"/>
        <v>2025000</v>
      </c>
      <c r="V42" s="42"/>
    </row>
    <row r="43" spans="1:22" s="61" customFormat="1" ht="24">
      <c r="A43" s="91">
        <v>37</v>
      </c>
      <c r="B43" s="92" t="s">
        <v>46</v>
      </c>
      <c r="C43" s="327" t="s">
        <v>1381</v>
      </c>
      <c r="D43" s="263" t="s">
        <v>415</v>
      </c>
      <c r="E43" s="92" t="s">
        <v>384</v>
      </c>
      <c r="F43" s="92" t="s">
        <v>1112</v>
      </c>
      <c r="G43" s="94">
        <v>19</v>
      </c>
      <c r="H43" s="95">
        <v>1750</v>
      </c>
      <c r="I43" s="96">
        <v>3</v>
      </c>
      <c r="J43" s="97" t="s">
        <v>21</v>
      </c>
      <c r="K43" s="98">
        <v>1</v>
      </c>
      <c r="L43" s="96">
        <v>0</v>
      </c>
      <c r="M43" s="82">
        <f t="shared" si="10"/>
        <v>1662.5</v>
      </c>
      <c r="N43" s="82">
        <f t="shared" si="12"/>
        <v>1745.625</v>
      </c>
      <c r="O43" s="82">
        <f t="shared" si="11"/>
        <v>80298.75</v>
      </c>
      <c r="P43" s="99">
        <v>1</v>
      </c>
      <c r="Q43" s="99">
        <v>1</v>
      </c>
      <c r="R43" s="96">
        <f t="shared" si="1"/>
        <v>2025000</v>
      </c>
      <c r="S43" s="96">
        <f t="shared" si="9"/>
        <v>2025000</v>
      </c>
      <c r="T43" s="96">
        <f>L43*P43*Q43*R43</f>
        <v>0</v>
      </c>
      <c r="U43" s="96">
        <f>R43*P43*Q43</f>
        <v>2025000</v>
      </c>
      <c r="V43" s="42"/>
    </row>
    <row r="44" spans="1:22" s="61" customFormat="1" ht="24">
      <c r="A44" s="91">
        <v>38</v>
      </c>
      <c r="B44" s="92" t="s">
        <v>46</v>
      </c>
      <c r="C44" s="327" t="s">
        <v>1382</v>
      </c>
      <c r="D44" s="263" t="s">
        <v>415</v>
      </c>
      <c r="E44" s="92" t="s">
        <v>384</v>
      </c>
      <c r="F44" s="92" t="s">
        <v>1112</v>
      </c>
      <c r="G44" s="94">
        <v>19</v>
      </c>
      <c r="H44" s="95">
        <v>1750</v>
      </c>
      <c r="I44" s="96">
        <v>3</v>
      </c>
      <c r="J44" s="97" t="s">
        <v>25</v>
      </c>
      <c r="K44" s="98">
        <v>1</v>
      </c>
      <c r="L44" s="96">
        <v>0</v>
      </c>
      <c r="M44" s="82">
        <f t="shared" si="10"/>
        <v>1662.5</v>
      </c>
      <c r="N44" s="82">
        <f t="shared" si="12"/>
        <v>1745.625</v>
      </c>
      <c r="O44" s="82">
        <f t="shared" si="11"/>
        <v>80298.75</v>
      </c>
      <c r="P44" s="99">
        <v>1</v>
      </c>
      <c r="Q44" s="99">
        <v>1</v>
      </c>
      <c r="R44" s="96">
        <f t="shared" si="1"/>
        <v>2025000</v>
      </c>
      <c r="S44" s="96">
        <f t="shared" si="9"/>
        <v>2025000</v>
      </c>
      <c r="T44" s="96">
        <f t="shared" si="2"/>
        <v>0</v>
      </c>
      <c r="U44" s="96">
        <f t="shared" si="4"/>
        <v>2025000</v>
      </c>
      <c r="V44" s="42"/>
    </row>
    <row r="45" spans="1:22" s="61" customFormat="1" ht="24">
      <c r="A45" s="91">
        <v>39</v>
      </c>
      <c r="B45" s="92" t="s">
        <v>46</v>
      </c>
      <c r="C45" s="327" t="s">
        <v>1383</v>
      </c>
      <c r="D45" s="263" t="s">
        <v>415</v>
      </c>
      <c r="E45" s="92" t="s">
        <v>384</v>
      </c>
      <c r="F45" s="92" t="s">
        <v>1112</v>
      </c>
      <c r="G45" s="94">
        <v>19</v>
      </c>
      <c r="H45" s="95">
        <v>1750</v>
      </c>
      <c r="I45" s="96">
        <v>4</v>
      </c>
      <c r="J45" s="97" t="s">
        <v>21</v>
      </c>
      <c r="K45" s="98">
        <v>1</v>
      </c>
      <c r="L45" s="96">
        <v>0</v>
      </c>
      <c r="M45" s="82">
        <f t="shared" si="10"/>
        <v>1662.5</v>
      </c>
      <c r="N45" s="82">
        <f t="shared" si="12"/>
        <v>1745.625</v>
      </c>
      <c r="O45" s="82">
        <f t="shared" si="11"/>
        <v>80298.75</v>
      </c>
      <c r="P45" s="99">
        <v>1</v>
      </c>
      <c r="Q45" s="99">
        <v>1</v>
      </c>
      <c r="R45" s="96">
        <f t="shared" si="1"/>
        <v>2025000</v>
      </c>
      <c r="S45" s="96">
        <f t="shared" si="9"/>
        <v>2025000</v>
      </c>
      <c r="T45" s="96">
        <f>L45*P45*Q45*R45</f>
        <v>0</v>
      </c>
      <c r="U45" s="96">
        <f>R45*P45*Q45</f>
        <v>2025000</v>
      </c>
      <c r="V45" s="42"/>
    </row>
    <row r="46" spans="1:22" s="61" customFormat="1" ht="29.25" customHeight="1">
      <c r="A46" s="91">
        <v>40</v>
      </c>
      <c r="B46" s="92" t="s">
        <v>46</v>
      </c>
      <c r="C46" s="327" t="s">
        <v>1384</v>
      </c>
      <c r="D46" s="263" t="s">
        <v>415</v>
      </c>
      <c r="E46" s="92" t="s">
        <v>384</v>
      </c>
      <c r="F46" s="92" t="s">
        <v>1112</v>
      </c>
      <c r="G46" s="94">
        <v>35</v>
      </c>
      <c r="H46" s="95">
        <v>1850</v>
      </c>
      <c r="I46" s="96">
        <v>3</v>
      </c>
      <c r="J46" s="97" t="s">
        <v>43</v>
      </c>
      <c r="K46" s="98">
        <v>1</v>
      </c>
      <c r="L46" s="96">
        <v>0</v>
      </c>
      <c r="M46" s="82">
        <f t="shared" si="10"/>
        <v>3237.5</v>
      </c>
      <c r="N46" s="82">
        <f t="shared" si="12"/>
        <v>3399.375</v>
      </c>
      <c r="O46" s="82">
        <f t="shared" si="11"/>
        <v>156371.25</v>
      </c>
      <c r="P46" s="99">
        <v>1</v>
      </c>
      <c r="Q46" s="99">
        <v>1</v>
      </c>
      <c r="R46" s="96">
        <f t="shared" si="1"/>
        <v>2025000</v>
      </c>
      <c r="S46" s="96">
        <f t="shared" si="9"/>
        <v>2025000</v>
      </c>
      <c r="T46" s="96">
        <f t="shared" si="2"/>
        <v>0</v>
      </c>
      <c r="U46" s="96">
        <f t="shared" si="4"/>
        <v>2025000</v>
      </c>
      <c r="V46" s="42"/>
    </row>
    <row r="47" spans="1:22" s="61" customFormat="1" ht="29.25" customHeight="1">
      <c r="A47" s="91">
        <v>41</v>
      </c>
      <c r="B47" s="92" t="s">
        <v>46</v>
      </c>
      <c r="C47" s="327" t="s">
        <v>1385</v>
      </c>
      <c r="D47" s="263" t="s">
        <v>415</v>
      </c>
      <c r="E47" s="92" t="s">
        <v>384</v>
      </c>
      <c r="F47" s="92" t="s">
        <v>1112</v>
      </c>
      <c r="G47" s="94">
        <v>35</v>
      </c>
      <c r="H47" s="95">
        <v>1850</v>
      </c>
      <c r="I47" s="96">
        <v>4</v>
      </c>
      <c r="J47" s="97" t="s">
        <v>40</v>
      </c>
      <c r="K47" s="98">
        <v>1</v>
      </c>
      <c r="L47" s="96">
        <v>0</v>
      </c>
      <c r="M47" s="82">
        <f t="shared" si="10"/>
        <v>3237.5</v>
      </c>
      <c r="N47" s="82">
        <f t="shared" si="12"/>
        <v>3399.375</v>
      </c>
      <c r="O47" s="82">
        <f t="shared" si="11"/>
        <v>156371.25</v>
      </c>
      <c r="P47" s="99">
        <v>1</v>
      </c>
      <c r="Q47" s="99">
        <v>1</v>
      </c>
      <c r="R47" s="96">
        <f t="shared" si="1"/>
        <v>2025000</v>
      </c>
      <c r="S47" s="96">
        <f t="shared" si="9"/>
        <v>2025000</v>
      </c>
      <c r="T47" s="96">
        <f>L47*P47*Q47*R47</f>
        <v>0</v>
      </c>
      <c r="U47" s="96">
        <f>R47*P47*Q47</f>
        <v>2025000</v>
      </c>
      <c r="V47" s="42"/>
    </row>
    <row r="48" spans="1:22" s="61" customFormat="1" ht="29.25" customHeight="1">
      <c r="A48" s="91">
        <v>42</v>
      </c>
      <c r="B48" s="92" t="s">
        <v>46</v>
      </c>
      <c r="C48" s="327" t="s">
        <v>1386</v>
      </c>
      <c r="D48" s="263" t="s">
        <v>415</v>
      </c>
      <c r="E48" s="92" t="s">
        <v>384</v>
      </c>
      <c r="F48" s="92" t="s">
        <v>1112</v>
      </c>
      <c r="G48" s="94">
        <v>35</v>
      </c>
      <c r="H48" s="95">
        <v>1850</v>
      </c>
      <c r="I48" s="96">
        <v>3</v>
      </c>
      <c r="J48" s="97" t="s">
        <v>43</v>
      </c>
      <c r="K48" s="98">
        <v>1</v>
      </c>
      <c r="L48" s="96">
        <v>0</v>
      </c>
      <c r="M48" s="82">
        <f t="shared" si="10"/>
        <v>3237.5</v>
      </c>
      <c r="N48" s="82">
        <f t="shared" si="12"/>
        <v>3399.375</v>
      </c>
      <c r="O48" s="82">
        <f t="shared" si="11"/>
        <v>156371.25</v>
      </c>
      <c r="P48" s="99">
        <v>1</v>
      </c>
      <c r="Q48" s="99">
        <v>1</v>
      </c>
      <c r="R48" s="96">
        <f t="shared" si="1"/>
        <v>2025000</v>
      </c>
      <c r="S48" s="96">
        <f t="shared" si="9"/>
        <v>2025000</v>
      </c>
      <c r="T48" s="96">
        <f t="shared" si="2"/>
        <v>0</v>
      </c>
      <c r="U48" s="96">
        <f t="shared" si="4"/>
        <v>2025000</v>
      </c>
      <c r="V48" s="42"/>
    </row>
    <row r="49" spans="1:22" s="61" customFormat="1" ht="27" customHeight="1">
      <c r="A49" s="91">
        <v>43</v>
      </c>
      <c r="B49" s="92" t="s">
        <v>46</v>
      </c>
      <c r="C49" s="327" t="s">
        <v>1387</v>
      </c>
      <c r="D49" s="263" t="s">
        <v>415</v>
      </c>
      <c r="E49" s="92" t="s">
        <v>384</v>
      </c>
      <c r="F49" s="92" t="s">
        <v>1112</v>
      </c>
      <c r="G49" s="94">
        <v>35</v>
      </c>
      <c r="H49" s="95">
        <v>1850</v>
      </c>
      <c r="I49" s="96">
        <v>4</v>
      </c>
      <c r="J49" s="97" t="s">
        <v>40</v>
      </c>
      <c r="K49" s="98">
        <v>1</v>
      </c>
      <c r="L49" s="96">
        <v>0</v>
      </c>
      <c r="M49" s="82">
        <f t="shared" si="10"/>
        <v>3237.5</v>
      </c>
      <c r="N49" s="82">
        <f t="shared" si="12"/>
        <v>3399.375</v>
      </c>
      <c r="O49" s="82">
        <f t="shared" si="11"/>
        <v>156371.25</v>
      </c>
      <c r="P49" s="99">
        <v>1</v>
      </c>
      <c r="Q49" s="99">
        <v>1</v>
      </c>
      <c r="R49" s="96">
        <f t="shared" si="1"/>
        <v>2025000</v>
      </c>
      <c r="S49" s="96">
        <f t="shared" si="9"/>
        <v>2025000</v>
      </c>
      <c r="T49" s="96">
        <f>L49*P49*Q49*R49</f>
        <v>0</v>
      </c>
      <c r="U49" s="96">
        <f>R49*P49*Q49</f>
        <v>2025000</v>
      </c>
      <c r="V49" s="42"/>
    </row>
    <row r="50" spans="1:22" s="61" customFormat="1" ht="27" customHeight="1">
      <c r="A50" s="91">
        <v>44</v>
      </c>
      <c r="B50" s="92" t="s">
        <v>46</v>
      </c>
      <c r="C50" s="327" t="s">
        <v>416</v>
      </c>
      <c r="D50" s="263" t="s">
        <v>415</v>
      </c>
      <c r="E50" s="92" t="s">
        <v>384</v>
      </c>
      <c r="F50" s="92" t="s">
        <v>1112</v>
      </c>
      <c r="G50" s="94">
        <v>19</v>
      </c>
      <c r="H50" s="95">
        <v>1750</v>
      </c>
      <c r="I50" s="96">
        <v>4</v>
      </c>
      <c r="J50" s="100" t="s">
        <v>25</v>
      </c>
      <c r="K50" s="98">
        <v>1</v>
      </c>
      <c r="L50" s="96">
        <v>0</v>
      </c>
      <c r="M50" s="82">
        <f t="shared" si="10"/>
        <v>1662.5</v>
      </c>
      <c r="N50" s="82">
        <f t="shared" si="12"/>
        <v>1745.625</v>
      </c>
      <c r="O50" s="82">
        <f t="shared" si="11"/>
        <v>80298.75</v>
      </c>
      <c r="P50" s="99">
        <v>1</v>
      </c>
      <c r="Q50" s="99">
        <v>1</v>
      </c>
      <c r="R50" s="96">
        <f t="shared" si="1"/>
        <v>2025000</v>
      </c>
      <c r="S50" s="96">
        <f t="shared" si="9"/>
        <v>2025000</v>
      </c>
      <c r="T50" s="96">
        <f t="shared" si="2"/>
        <v>0</v>
      </c>
      <c r="U50" s="96">
        <f t="shared" si="4"/>
        <v>2025000</v>
      </c>
      <c r="V50" s="42"/>
    </row>
    <row r="51" spans="1:22" s="61" customFormat="1" ht="27" customHeight="1">
      <c r="A51" s="91">
        <v>45</v>
      </c>
      <c r="B51" s="92" t="s">
        <v>46</v>
      </c>
      <c r="C51" s="327" t="s">
        <v>417</v>
      </c>
      <c r="D51" s="263" t="s">
        <v>415</v>
      </c>
      <c r="E51" s="92" t="s">
        <v>384</v>
      </c>
      <c r="F51" s="92" t="s">
        <v>1112</v>
      </c>
      <c r="G51" s="94">
        <v>19</v>
      </c>
      <c r="H51" s="95">
        <v>1750</v>
      </c>
      <c r="I51" s="96">
        <v>4</v>
      </c>
      <c r="J51" s="100" t="s">
        <v>25</v>
      </c>
      <c r="K51" s="98">
        <v>1</v>
      </c>
      <c r="L51" s="96">
        <v>0</v>
      </c>
      <c r="M51" s="82">
        <f>G51*H51/5</f>
        <v>6650</v>
      </c>
      <c r="N51" s="82">
        <f>M51*0.15*5.5</f>
        <v>5486.25</v>
      </c>
      <c r="O51" s="82">
        <f>M51*6.6*5.5+N51*2</f>
        <v>252367.5</v>
      </c>
      <c r="P51" s="99">
        <v>1</v>
      </c>
      <c r="Q51" s="99">
        <v>1</v>
      </c>
      <c r="R51" s="96">
        <f t="shared" si="1"/>
        <v>2025000</v>
      </c>
      <c r="S51" s="96">
        <f t="shared" si="9"/>
        <v>2025000</v>
      </c>
      <c r="T51" s="96">
        <f t="shared" si="2"/>
        <v>0</v>
      </c>
      <c r="U51" s="96">
        <f t="shared" si="4"/>
        <v>2025000</v>
      </c>
      <c r="V51" s="42"/>
    </row>
    <row r="52" spans="1:22" s="61" customFormat="1" ht="27" customHeight="1">
      <c r="A52" s="91">
        <v>46</v>
      </c>
      <c r="B52" s="92" t="s">
        <v>46</v>
      </c>
      <c r="C52" s="325" t="s">
        <v>1388</v>
      </c>
      <c r="D52" s="263" t="s">
        <v>415</v>
      </c>
      <c r="E52" s="92" t="s">
        <v>384</v>
      </c>
      <c r="F52" s="92" t="s">
        <v>1112</v>
      </c>
      <c r="G52" s="94">
        <v>35</v>
      </c>
      <c r="H52" s="96">
        <v>1850</v>
      </c>
      <c r="I52" s="95">
        <v>3</v>
      </c>
      <c r="J52" s="97" t="s">
        <v>25</v>
      </c>
      <c r="K52" s="98">
        <v>1</v>
      </c>
      <c r="L52" s="96">
        <v>0</v>
      </c>
      <c r="M52" s="82">
        <f>G52*H52/5</f>
        <v>12950</v>
      </c>
      <c r="N52" s="82">
        <f>M52*0.15*5.5</f>
        <v>10683.75</v>
      </c>
      <c r="O52" s="82">
        <f>M52*6.6*5.5+N52*2</f>
        <v>491452.5</v>
      </c>
      <c r="P52" s="99">
        <v>1</v>
      </c>
      <c r="Q52" s="99">
        <v>1</v>
      </c>
      <c r="R52" s="96">
        <f t="shared" si="1"/>
        <v>2025000</v>
      </c>
      <c r="S52" s="96">
        <f t="shared" si="9"/>
        <v>2025000</v>
      </c>
      <c r="T52" s="96">
        <f t="shared" si="2"/>
        <v>0</v>
      </c>
      <c r="U52" s="96">
        <f t="shared" si="4"/>
        <v>2025000</v>
      </c>
      <c r="V52" s="42"/>
    </row>
    <row r="53" spans="1:22" s="61" customFormat="1" ht="27" customHeight="1">
      <c r="A53" s="91">
        <v>47</v>
      </c>
      <c r="B53" s="92" t="s">
        <v>46</v>
      </c>
      <c r="C53" s="325" t="s">
        <v>1389</v>
      </c>
      <c r="D53" s="263" t="s">
        <v>415</v>
      </c>
      <c r="E53" s="92" t="s">
        <v>384</v>
      </c>
      <c r="F53" s="92" t="s">
        <v>1112</v>
      </c>
      <c r="G53" s="94">
        <v>35</v>
      </c>
      <c r="H53" s="96">
        <v>1850</v>
      </c>
      <c r="I53" s="95">
        <v>3</v>
      </c>
      <c r="J53" s="97" t="s">
        <v>40</v>
      </c>
      <c r="K53" s="98">
        <v>1</v>
      </c>
      <c r="L53" s="96">
        <v>0</v>
      </c>
      <c r="M53" s="82">
        <f aca="true" t="shared" si="13" ref="M53:M59">G53*H53*5/100</f>
        <v>3237.5</v>
      </c>
      <c r="N53" s="82">
        <f t="shared" si="12"/>
        <v>3399.375</v>
      </c>
      <c r="O53" s="82">
        <f t="shared" si="11"/>
        <v>156371.25</v>
      </c>
      <c r="P53" s="99">
        <v>1</v>
      </c>
      <c r="Q53" s="99">
        <v>1</v>
      </c>
      <c r="R53" s="96">
        <f t="shared" si="1"/>
        <v>2025000</v>
      </c>
      <c r="S53" s="96">
        <f t="shared" si="9"/>
        <v>2025000</v>
      </c>
      <c r="T53" s="96">
        <f>L53*P53*Q53*R53</f>
        <v>0</v>
      </c>
      <c r="U53" s="96">
        <f>R53*P53*Q53</f>
        <v>2025000</v>
      </c>
      <c r="V53" s="42"/>
    </row>
    <row r="54" spans="1:22" s="61" customFormat="1" ht="27" customHeight="1">
      <c r="A54" s="91">
        <v>48</v>
      </c>
      <c r="B54" s="92" t="s">
        <v>46</v>
      </c>
      <c r="C54" s="325" t="s">
        <v>1390</v>
      </c>
      <c r="D54" s="263" t="s">
        <v>415</v>
      </c>
      <c r="E54" s="92" t="s">
        <v>384</v>
      </c>
      <c r="F54" s="92" t="s">
        <v>1112</v>
      </c>
      <c r="G54" s="94">
        <v>35</v>
      </c>
      <c r="H54" s="96">
        <v>1850</v>
      </c>
      <c r="I54" s="95">
        <v>3</v>
      </c>
      <c r="J54" s="97" t="s">
        <v>25</v>
      </c>
      <c r="K54" s="98">
        <v>1</v>
      </c>
      <c r="L54" s="96">
        <v>0</v>
      </c>
      <c r="M54" s="82">
        <f t="shared" si="13"/>
        <v>3237.5</v>
      </c>
      <c r="N54" s="82">
        <f t="shared" si="12"/>
        <v>3399.375</v>
      </c>
      <c r="O54" s="82">
        <f t="shared" si="11"/>
        <v>156371.25</v>
      </c>
      <c r="P54" s="99">
        <v>1</v>
      </c>
      <c r="Q54" s="99">
        <v>1</v>
      </c>
      <c r="R54" s="96">
        <f t="shared" si="1"/>
        <v>2025000</v>
      </c>
      <c r="S54" s="96">
        <f t="shared" si="9"/>
        <v>2025000</v>
      </c>
      <c r="T54" s="96">
        <f t="shared" si="2"/>
        <v>0</v>
      </c>
      <c r="U54" s="96">
        <f t="shared" si="4"/>
        <v>2025000</v>
      </c>
      <c r="V54" s="42"/>
    </row>
    <row r="55" spans="1:22" s="61" customFormat="1" ht="27" customHeight="1">
      <c r="A55" s="91">
        <v>49</v>
      </c>
      <c r="B55" s="92" t="s">
        <v>46</v>
      </c>
      <c r="C55" s="325" t="s">
        <v>1391</v>
      </c>
      <c r="D55" s="263" t="s">
        <v>415</v>
      </c>
      <c r="E55" s="92" t="s">
        <v>384</v>
      </c>
      <c r="F55" s="92" t="s">
        <v>1112</v>
      </c>
      <c r="G55" s="94">
        <v>35</v>
      </c>
      <c r="H55" s="96">
        <v>1850</v>
      </c>
      <c r="I55" s="95">
        <v>3</v>
      </c>
      <c r="J55" s="97" t="s">
        <v>40</v>
      </c>
      <c r="K55" s="98">
        <v>1</v>
      </c>
      <c r="L55" s="96">
        <v>0</v>
      </c>
      <c r="M55" s="82">
        <f t="shared" si="13"/>
        <v>3237.5</v>
      </c>
      <c r="N55" s="82">
        <f t="shared" si="12"/>
        <v>3399.375</v>
      </c>
      <c r="O55" s="82">
        <f t="shared" si="11"/>
        <v>156371.25</v>
      </c>
      <c r="P55" s="99">
        <v>1</v>
      </c>
      <c r="Q55" s="99">
        <v>1</v>
      </c>
      <c r="R55" s="96">
        <f t="shared" si="1"/>
        <v>2025000</v>
      </c>
      <c r="S55" s="96">
        <f t="shared" si="9"/>
        <v>2025000</v>
      </c>
      <c r="T55" s="96">
        <f>L55*P55*Q55*R55</f>
        <v>0</v>
      </c>
      <c r="U55" s="96">
        <f>R55*P55*Q55</f>
        <v>2025000</v>
      </c>
      <c r="V55" s="42"/>
    </row>
    <row r="56" spans="1:22" s="61" customFormat="1" ht="27" customHeight="1">
      <c r="A56" s="91">
        <v>50</v>
      </c>
      <c r="B56" s="92" t="s">
        <v>46</v>
      </c>
      <c r="C56" s="325" t="s">
        <v>1392</v>
      </c>
      <c r="D56" s="263" t="s">
        <v>415</v>
      </c>
      <c r="E56" s="92" t="s">
        <v>384</v>
      </c>
      <c r="F56" s="92" t="s">
        <v>1112</v>
      </c>
      <c r="G56" s="94">
        <v>35</v>
      </c>
      <c r="H56" s="96">
        <v>1850</v>
      </c>
      <c r="I56" s="95">
        <v>3</v>
      </c>
      <c r="J56" s="97" t="s">
        <v>25</v>
      </c>
      <c r="K56" s="98">
        <v>1</v>
      </c>
      <c r="L56" s="96">
        <v>0</v>
      </c>
      <c r="M56" s="82">
        <f t="shared" si="13"/>
        <v>3237.5</v>
      </c>
      <c r="N56" s="82">
        <f t="shared" si="12"/>
        <v>3399.375</v>
      </c>
      <c r="O56" s="82">
        <f t="shared" si="11"/>
        <v>156371.25</v>
      </c>
      <c r="P56" s="99">
        <v>1</v>
      </c>
      <c r="Q56" s="99">
        <v>1</v>
      </c>
      <c r="R56" s="96">
        <f t="shared" si="1"/>
        <v>2025000</v>
      </c>
      <c r="S56" s="96">
        <f t="shared" si="9"/>
        <v>2025000</v>
      </c>
      <c r="T56" s="96">
        <f aca="true" t="shared" si="14" ref="T56:T61">S56*R56*Q56*L56</f>
        <v>0</v>
      </c>
      <c r="U56" s="96">
        <f t="shared" si="4"/>
        <v>2025000</v>
      </c>
      <c r="V56" s="42"/>
    </row>
    <row r="57" spans="1:22" s="61" customFormat="1" ht="27" customHeight="1">
      <c r="A57" s="91">
        <v>51</v>
      </c>
      <c r="B57" s="92" t="s">
        <v>46</v>
      </c>
      <c r="C57" s="325" t="s">
        <v>1393</v>
      </c>
      <c r="D57" s="263" t="s">
        <v>415</v>
      </c>
      <c r="E57" s="92" t="s">
        <v>384</v>
      </c>
      <c r="F57" s="92" t="s">
        <v>1112</v>
      </c>
      <c r="G57" s="94">
        <v>35</v>
      </c>
      <c r="H57" s="96">
        <v>1850</v>
      </c>
      <c r="I57" s="95">
        <v>3</v>
      </c>
      <c r="J57" s="97" t="s">
        <v>40</v>
      </c>
      <c r="K57" s="98">
        <v>1</v>
      </c>
      <c r="L57" s="96">
        <v>0</v>
      </c>
      <c r="M57" s="82">
        <f t="shared" si="13"/>
        <v>3237.5</v>
      </c>
      <c r="N57" s="82">
        <f t="shared" si="12"/>
        <v>3399.375</v>
      </c>
      <c r="O57" s="82">
        <f t="shared" si="11"/>
        <v>156371.25</v>
      </c>
      <c r="P57" s="99">
        <v>1</v>
      </c>
      <c r="Q57" s="99">
        <v>1</v>
      </c>
      <c r="R57" s="96">
        <f t="shared" si="1"/>
        <v>2025000</v>
      </c>
      <c r="S57" s="96">
        <f t="shared" si="9"/>
        <v>2025000</v>
      </c>
      <c r="T57" s="96">
        <f t="shared" si="14"/>
        <v>0</v>
      </c>
      <c r="U57" s="96">
        <f>R57*P57*Q57</f>
        <v>2025000</v>
      </c>
      <c r="V57" s="42"/>
    </row>
    <row r="58" spans="1:22" s="61" customFormat="1" ht="27" customHeight="1">
      <c r="A58" s="91">
        <v>52</v>
      </c>
      <c r="B58" s="92" t="s">
        <v>46</v>
      </c>
      <c r="C58" s="325" t="s">
        <v>1394</v>
      </c>
      <c r="D58" s="263" t="s">
        <v>415</v>
      </c>
      <c r="E58" s="92" t="s">
        <v>384</v>
      </c>
      <c r="F58" s="92" t="s">
        <v>1112</v>
      </c>
      <c r="G58" s="94">
        <v>35</v>
      </c>
      <c r="H58" s="96">
        <v>1850</v>
      </c>
      <c r="I58" s="95">
        <v>3</v>
      </c>
      <c r="J58" s="97" t="s">
        <v>25</v>
      </c>
      <c r="K58" s="98">
        <v>1</v>
      </c>
      <c r="L58" s="96"/>
      <c r="M58" s="82">
        <f t="shared" si="13"/>
        <v>3237.5</v>
      </c>
      <c r="N58" s="82">
        <f t="shared" si="12"/>
        <v>3399.375</v>
      </c>
      <c r="O58" s="82">
        <f t="shared" si="11"/>
        <v>156371.25</v>
      </c>
      <c r="P58" s="99">
        <v>1</v>
      </c>
      <c r="Q58" s="99">
        <v>1</v>
      </c>
      <c r="R58" s="96">
        <f t="shared" si="1"/>
        <v>2025000</v>
      </c>
      <c r="S58" s="96">
        <f t="shared" si="9"/>
        <v>2025000</v>
      </c>
      <c r="T58" s="96">
        <f t="shared" si="14"/>
        <v>0</v>
      </c>
      <c r="U58" s="96">
        <f t="shared" si="4"/>
        <v>2025000</v>
      </c>
      <c r="V58" s="42"/>
    </row>
    <row r="59" spans="1:22" s="61" customFormat="1" ht="27" customHeight="1">
      <c r="A59" s="91">
        <v>53</v>
      </c>
      <c r="B59" s="92" t="s">
        <v>46</v>
      </c>
      <c r="C59" s="325" t="s">
        <v>1395</v>
      </c>
      <c r="D59" s="263" t="s">
        <v>415</v>
      </c>
      <c r="E59" s="92" t="s">
        <v>384</v>
      </c>
      <c r="F59" s="92" t="s">
        <v>1112</v>
      </c>
      <c r="G59" s="94">
        <v>35</v>
      </c>
      <c r="H59" s="96">
        <v>1850</v>
      </c>
      <c r="I59" s="95">
        <v>3</v>
      </c>
      <c r="J59" s="97" t="s">
        <v>40</v>
      </c>
      <c r="K59" s="98">
        <v>1</v>
      </c>
      <c r="L59" s="96"/>
      <c r="M59" s="82">
        <f t="shared" si="13"/>
        <v>3237.5</v>
      </c>
      <c r="N59" s="82">
        <f t="shared" si="12"/>
        <v>3399.375</v>
      </c>
      <c r="O59" s="82">
        <f t="shared" si="11"/>
        <v>156371.25</v>
      </c>
      <c r="P59" s="99">
        <v>1</v>
      </c>
      <c r="Q59" s="99">
        <v>1</v>
      </c>
      <c r="R59" s="96">
        <f t="shared" si="1"/>
        <v>2025000</v>
      </c>
      <c r="S59" s="96">
        <f t="shared" si="9"/>
        <v>2025000</v>
      </c>
      <c r="T59" s="96">
        <f t="shared" si="14"/>
        <v>0</v>
      </c>
      <c r="U59" s="96">
        <f>R59*P59*Q59</f>
        <v>2025000</v>
      </c>
      <c r="V59" s="42"/>
    </row>
    <row r="60" spans="1:22" s="61" customFormat="1" ht="27" customHeight="1">
      <c r="A60" s="91">
        <v>54</v>
      </c>
      <c r="B60" s="92" t="s">
        <v>17</v>
      </c>
      <c r="C60" s="325" t="s">
        <v>982</v>
      </c>
      <c r="D60" s="263" t="s">
        <v>415</v>
      </c>
      <c r="E60" s="92" t="s">
        <v>384</v>
      </c>
      <c r="F60" s="92" t="s">
        <v>1112</v>
      </c>
      <c r="G60" s="94">
        <v>27</v>
      </c>
      <c r="H60" s="96">
        <v>1200</v>
      </c>
      <c r="I60" s="95">
        <v>2</v>
      </c>
      <c r="J60" s="97" t="s">
        <v>25</v>
      </c>
      <c r="K60" s="98">
        <v>1</v>
      </c>
      <c r="L60" s="96">
        <v>0</v>
      </c>
      <c r="M60" s="82">
        <f>G60*H60/5</f>
        <v>6480</v>
      </c>
      <c r="N60" s="82">
        <f>M60*0.15*5.5</f>
        <v>5346</v>
      </c>
      <c r="O60" s="82">
        <f>M60*6.6*5.5+N60*2</f>
        <v>245916</v>
      </c>
      <c r="P60" s="99">
        <v>1</v>
      </c>
      <c r="Q60" s="99">
        <v>1</v>
      </c>
      <c r="R60" s="96">
        <f t="shared" si="1"/>
        <v>2025000</v>
      </c>
      <c r="S60" s="96">
        <f t="shared" si="9"/>
        <v>2025000</v>
      </c>
      <c r="T60" s="96">
        <f t="shared" si="14"/>
        <v>0</v>
      </c>
      <c r="U60" s="96">
        <f>R60*P60*Q60</f>
        <v>2025000</v>
      </c>
      <c r="V60" s="42"/>
    </row>
    <row r="61" spans="1:22" s="61" customFormat="1" ht="27" customHeight="1">
      <c r="A61" s="91">
        <v>55</v>
      </c>
      <c r="B61" s="92" t="s">
        <v>17</v>
      </c>
      <c r="C61" s="325" t="s">
        <v>983</v>
      </c>
      <c r="D61" s="263" t="s">
        <v>415</v>
      </c>
      <c r="E61" s="92" t="s">
        <v>384</v>
      </c>
      <c r="F61" s="92" t="s">
        <v>1112</v>
      </c>
      <c r="G61" s="94">
        <v>27</v>
      </c>
      <c r="H61" s="96">
        <v>1200</v>
      </c>
      <c r="I61" s="95">
        <v>2</v>
      </c>
      <c r="J61" s="97" t="s">
        <v>25</v>
      </c>
      <c r="K61" s="98">
        <v>1</v>
      </c>
      <c r="L61" s="96">
        <v>0</v>
      </c>
      <c r="M61" s="82">
        <f>G61*H61/5</f>
        <v>6480</v>
      </c>
      <c r="N61" s="82">
        <f>M61*0.15*5.5</f>
        <v>5346</v>
      </c>
      <c r="O61" s="82">
        <f>M61*6.6*5.5+N61*2</f>
        <v>245916</v>
      </c>
      <c r="P61" s="99">
        <v>1</v>
      </c>
      <c r="Q61" s="99">
        <v>1</v>
      </c>
      <c r="R61" s="96">
        <f t="shared" si="1"/>
        <v>2025000</v>
      </c>
      <c r="S61" s="96">
        <f t="shared" si="9"/>
        <v>2025000</v>
      </c>
      <c r="T61" s="96">
        <f t="shared" si="14"/>
        <v>0</v>
      </c>
      <c r="U61" s="96">
        <f>R61*P61*Q61</f>
        <v>2025000</v>
      </c>
      <c r="V61" s="42"/>
    </row>
    <row r="62" spans="1:21" s="42" customFormat="1" ht="27" customHeight="1">
      <c r="A62" s="91">
        <v>56</v>
      </c>
      <c r="B62" s="81" t="s">
        <v>46</v>
      </c>
      <c r="C62" s="329" t="s">
        <v>1423</v>
      </c>
      <c r="D62" s="155" t="s">
        <v>1424</v>
      </c>
      <c r="E62" s="102" t="s">
        <v>384</v>
      </c>
      <c r="F62" s="92" t="s">
        <v>1112</v>
      </c>
      <c r="G62" s="103">
        <v>30</v>
      </c>
      <c r="H62" s="104">
        <v>1000</v>
      </c>
      <c r="I62" s="82">
        <v>3</v>
      </c>
      <c r="J62" s="88" t="s">
        <v>40</v>
      </c>
      <c r="K62" s="89">
        <v>1</v>
      </c>
      <c r="L62" s="82"/>
      <c r="M62" s="82">
        <f>G62*H62*5/100</f>
        <v>1500</v>
      </c>
      <c r="N62" s="82">
        <f t="shared" si="12"/>
        <v>1575</v>
      </c>
      <c r="O62" s="82">
        <f t="shared" si="11"/>
        <v>72450</v>
      </c>
      <c r="P62" s="82">
        <v>1</v>
      </c>
      <c r="Q62" s="82">
        <v>1</v>
      </c>
      <c r="R62" s="82">
        <f t="shared" si="1"/>
        <v>2025000</v>
      </c>
      <c r="S62" s="82">
        <f t="shared" si="9"/>
        <v>2025000</v>
      </c>
      <c r="T62" s="82">
        <f>L62*P62*Q62*R62</f>
        <v>0</v>
      </c>
      <c r="U62" s="82">
        <f>R62*P62*Q62</f>
        <v>2025000</v>
      </c>
    </row>
    <row r="63" spans="1:21" s="42" customFormat="1" ht="27" customHeight="1">
      <c r="A63" s="91">
        <v>57</v>
      </c>
      <c r="B63" s="81" t="s">
        <v>46</v>
      </c>
      <c r="C63" s="329" t="s">
        <v>1425</v>
      </c>
      <c r="D63" s="155" t="s">
        <v>1424</v>
      </c>
      <c r="E63" s="102" t="s">
        <v>384</v>
      </c>
      <c r="F63" s="92" t="s">
        <v>1112</v>
      </c>
      <c r="G63" s="103">
        <v>30</v>
      </c>
      <c r="H63" s="104">
        <v>1000</v>
      </c>
      <c r="I63" s="82">
        <v>3</v>
      </c>
      <c r="J63" s="88" t="s">
        <v>40</v>
      </c>
      <c r="K63" s="89">
        <v>1</v>
      </c>
      <c r="L63" s="82"/>
      <c r="M63" s="82">
        <f>G63*H63*5/100</f>
        <v>1500</v>
      </c>
      <c r="N63" s="82">
        <f t="shared" si="12"/>
        <v>1575</v>
      </c>
      <c r="O63" s="82">
        <f t="shared" si="11"/>
        <v>72450</v>
      </c>
      <c r="P63" s="82">
        <v>1</v>
      </c>
      <c r="Q63" s="82">
        <v>1</v>
      </c>
      <c r="R63" s="82">
        <f t="shared" si="1"/>
        <v>2025000</v>
      </c>
      <c r="S63" s="82">
        <f t="shared" si="9"/>
        <v>2025000</v>
      </c>
      <c r="T63" s="82">
        <f>L63*P63*Q63*R63</f>
        <v>0</v>
      </c>
      <c r="U63" s="82">
        <f>R63*P63*Q63</f>
        <v>2025000</v>
      </c>
    </row>
    <row r="64" spans="1:21" s="42" customFormat="1" ht="27" customHeight="1">
      <c r="A64" s="91">
        <v>58</v>
      </c>
      <c r="B64" s="81" t="s">
        <v>46</v>
      </c>
      <c r="C64" s="327" t="s">
        <v>418</v>
      </c>
      <c r="D64" s="105" t="s">
        <v>945</v>
      </c>
      <c r="E64" s="81" t="s">
        <v>402</v>
      </c>
      <c r="F64" s="81" t="s">
        <v>1112</v>
      </c>
      <c r="G64" s="66">
        <v>27</v>
      </c>
      <c r="H64" s="83">
        <v>1000</v>
      </c>
      <c r="I64" s="82">
        <v>3</v>
      </c>
      <c r="J64" s="84" t="s">
        <v>25</v>
      </c>
      <c r="K64" s="89">
        <v>1</v>
      </c>
      <c r="L64" s="82">
        <v>0</v>
      </c>
      <c r="M64" s="82">
        <f>G64*H64*5/100</f>
        <v>1350</v>
      </c>
      <c r="N64" s="82">
        <f>M64*0.15*7</f>
        <v>1417.5</v>
      </c>
      <c r="O64" s="82">
        <f t="shared" si="11"/>
        <v>65205</v>
      </c>
      <c r="P64" s="87">
        <v>1</v>
      </c>
      <c r="Q64" s="87">
        <v>1</v>
      </c>
      <c r="R64" s="82">
        <f t="shared" si="1"/>
        <v>2025000</v>
      </c>
      <c r="S64" s="82">
        <f t="shared" si="9"/>
        <v>2025000</v>
      </c>
      <c r="T64" s="82">
        <f t="shared" si="2"/>
        <v>0</v>
      </c>
      <c r="U64" s="82">
        <f t="shared" si="4"/>
        <v>2025000</v>
      </c>
    </row>
    <row r="65" spans="1:21" s="42" customFormat="1" ht="27" customHeight="1">
      <c r="A65" s="91">
        <v>59</v>
      </c>
      <c r="B65" s="81" t="s">
        <v>46</v>
      </c>
      <c r="C65" s="325" t="s">
        <v>419</v>
      </c>
      <c r="D65" s="105" t="s">
        <v>945</v>
      </c>
      <c r="E65" s="81" t="s">
        <v>402</v>
      </c>
      <c r="F65" s="81" t="s">
        <v>1112</v>
      </c>
      <c r="G65" s="66">
        <v>27</v>
      </c>
      <c r="H65" s="82">
        <v>1000</v>
      </c>
      <c r="I65" s="82">
        <v>3</v>
      </c>
      <c r="J65" s="84" t="s">
        <v>25</v>
      </c>
      <c r="K65" s="89">
        <v>1</v>
      </c>
      <c r="L65" s="82">
        <v>0</v>
      </c>
      <c r="M65" s="82">
        <f>G65*H65/5</f>
        <v>5400</v>
      </c>
      <c r="N65" s="82">
        <f>M65*0.15*5.5</f>
        <v>4455</v>
      </c>
      <c r="O65" s="82">
        <f>M65*6.6*5.5+N65*2</f>
        <v>204930</v>
      </c>
      <c r="P65" s="87">
        <v>1</v>
      </c>
      <c r="Q65" s="87">
        <v>1</v>
      </c>
      <c r="R65" s="82">
        <f t="shared" si="1"/>
        <v>2025000</v>
      </c>
      <c r="S65" s="82">
        <f t="shared" si="9"/>
        <v>2025000</v>
      </c>
      <c r="T65" s="82">
        <f t="shared" si="2"/>
        <v>0</v>
      </c>
      <c r="U65" s="82">
        <f t="shared" si="4"/>
        <v>2025000</v>
      </c>
    </row>
    <row r="66" spans="1:21" s="42" customFormat="1" ht="27" customHeight="1">
      <c r="A66" s="91">
        <v>60</v>
      </c>
      <c r="B66" s="81" t="s">
        <v>46</v>
      </c>
      <c r="C66" s="327" t="s">
        <v>420</v>
      </c>
      <c r="D66" s="105" t="s">
        <v>421</v>
      </c>
      <c r="E66" s="81" t="s">
        <v>402</v>
      </c>
      <c r="F66" s="81" t="s">
        <v>1112</v>
      </c>
      <c r="G66" s="66">
        <v>31</v>
      </c>
      <c r="H66" s="83">
        <v>1000</v>
      </c>
      <c r="I66" s="82">
        <v>3</v>
      </c>
      <c r="J66" s="84" t="s">
        <v>25</v>
      </c>
      <c r="K66" s="89">
        <v>1</v>
      </c>
      <c r="L66" s="82">
        <v>0</v>
      </c>
      <c r="M66" s="82">
        <f>G66*H66/5</f>
        <v>6200</v>
      </c>
      <c r="N66" s="82">
        <f>N65</f>
        <v>4455</v>
      </c>
      <c r="O66" s="82">
        <f>O65</f>
        <v>204930</v>
      </c>
      <c r="P66" s="87">
        <v>1</v>
      </c>
      <c r="Q66" s="87">
        <v>1</v>
      </c>
      <c r="R66" s="82">
        <f t="shared" si="1"/>
        <v>2025000</v>
      </c>
      <c r="S66" s="82">
        <f t="shared" si="9"/>
        <v>2025000</v>
      </c>
      <c r="T66" s="82">
        <f t="shared" si="2"/>
        <v>0</v>
      </c>
      <c r="U66" s="82">
        <f t="shared" si="4"/>
        <v>2025000</v>
      </c>
    </row>
    <row r="67" spans="1:21" s="42" customFormat="1" ht="27" customHeight="1">
      <c r="A67" s="91">
        <v>61</v>
      </c>
      <c r="B67" s="81" t="s">
        <v>46</v>
      </c>
      <c r="C67" s="327" t="s">
        <v>422</v>
      </c>
      <c r="D67" s="105" t="s">
        <v>421</v>
      </c>
      <c r="E67" s="81" t="s">
        <v>402</v>
      </c>
      <c r="F67" s="81" t="s">
        <v>1112</v>
      </c>
      <c r="G67" s="66">
        <v>31</v>
      </c>
      <c r="H67" s="83">
        <v>1000</v>
      </c>
      <c r="I67" s="82">
        <v>3</v>
      </c>
      <c r="J67" s="84" t="s">
        <v>25</v>
      </c>
      <c r="K67" s="89">
        <v>1</v>
      </c>
      <c r="L67" s="82">
        <v>0</v>
      </c>
      <c r="M67" s="82">
        <f>H67*G67/5</f>
        <v>6200</v>
      </c>
      <c r="N67" s="82">
        <f>M67*0.15*5.5</f>
        <v>5115</v>
      </c>
      <c r="O67" s="82">
        <f>M67*6.6*5.5+N67*2</f>
        <v>235290</v>
      </c>
      <c r="P67" s="87">
        <v>1</v>
      </c>
      <c r="Q67" s="87">
        <v>1</v>
      </c>
      <c r="R67" s="82">
        <f t="shared" si="1"/>
        <v>2025000</v>
      </c>
      <c r="S67" s="82">
        <f t="shared" si="9"/>
        <v>2025000</v>
      </c>
      <c r="T67" s="82">
        <f t="shared" si="2"/>
        <v>0</v>
      </c>
      <c r="U67" s="82">
        <f t="shared" si="4"/>
        <v>2025000</v>
      </c>
    </row>
    <row r="68" spans="1:21" s="42" customFormat="1" ht="27" customHeight="1">
      <c r="A68" s="91">
        <v>62</v>
      </c>
      <c r="B68" s="81" t="s">
        <v>46</v>
      </c>
      <c r="C68" s="327" t="s">
        <v>423</v>
      </c>
      <c r="D68" s="262" t="s">
        <v>421</v>
      </c>
      <c r="E68" s="81" t="s">
        <v>402</v>
      </c>
      <c r="F68" s="81" t="s">
        <v>1112</v>
      </c>
      <c r="G68" s="66">
        <v>31</v>
      </c>
      <c r="H68" s="83">
        <v>1000</v>
      </c>
      <c r="I68" s="82">
        <v>3</v>
      </c>
      <c r="J68" s="84" t="s">
        <v>25</v>
      </c>
      <c r="K68" s="89">
        <v>1</v>
      </c>
      <c r="L68" s="82">
        <v>0</v>
      </c>
      <c r="M68" s="82">
        <f>H68*G68/5</f>
        <v>6200</v>
      </c>
      <c r="N68" s="82">
        <f>M68*0.15*5.5</f>
        <v>5115</v>
      </c>
      <c r="O68" s="82">
        <f>M68*6.6*5.5+N68*2</f>
        <v>235290</v>
      </c>
      <c r="P68" s="87">
        <v>1</v>
      </c>
      <c r="Q68" s="87">
        <v>1</v>
      </c>
      <c r="R68" s="82">
        <f t="shared" si="1"/>
        <v>2025000</v>
      </c>
      <c r="S68" s="82">
        <f t="shared" si="9"/>
        <v>2025000</v>
      </c>
      <c r="T68" s="82">
        <f t="shared" si="2"/>
        <v>0</v>
      </c>
      <c r="U68" s="82">
        <f t="shared" si="4"/>
        <v>2025000</v>
      </c>
    </row>
    <row r="69" spans="1:21" s="42" customFormat="1" ht="27.75" customHeight="1">
      <c r="A69" s="91">
        <v>63</v>
      </c>
      <c r="B69" s="81" t="s">
        <v>46</v>
      </c>
      <c r="C69" s="327" t="s">
        <v>424</v>
      </c>
      <c r="D69" s="262" t="s">
        <v>421</v>
      </c>
      <c r="E69" s="81" t="s">
        <v>402</v>
      </c>
      <c r="F69" s="81" t="s">
        <v>1112</v>
      </c>
      <c r="G69" s="66">
        <v>31</v>
      </c>
      <c r="H69" s="83">
        <v>1000</v>
      </c>
      <c r="I69" s="82">
        <v>3</v>
      </c>
      <c r="J69" s="84" t="s">
        <v>25</v>
      </c>
      <c r="K69" s="89">
        <v>1</v>
      </c>
      <c r="L69" s="82">
        <v>0</v>
      </c>
      <c r="M69" s="82">
        <f>H69*G69/5</f>
        <v>6200</v>
      </c>
      <c r="N69" s="82">
        <f>M69*0.15*5.5</f>
        <v>5115</v>
      </c>
      <c r="O69" s="82">
        <f>M69*6.6*5.5+N69*2</f>
        <v>235290</v>
      </c>
      <c r="P69" s="87">
        <v>1</v>
      </c>
      <c r="Q69" s="87">
        <v>1</v>
      </c>
      <c r="R69" s="82">
        <f t="shared" si="1"/>
        <v>2025000</v>
      </c>
      <c r="S69" s="82">
        <f t="shared" si="9"/>
        <v>2025000</v>
      </c>
      <c r="T69" s="82">
        <f t="shared" si="2"/>
        <v>0</v>
      </c>
      <c r="U69" s="82">
        <f t="shared" si="4"/>
        <v>2025000</v>
      </c>
    </row>
    <row r="70" spans="1:21" s="42" customFormat="1" ht="24.75" customHeight="1">
      <c r="A70" s="91">
        <v>64</v>
      </c>
      <c r="B70" s="81" t="s">
        <v>46</v>
      </c>
      <c r="C70" s="327" t="s">
        <v>425</v>
      </c>
      <c r="D70" s="262" t="s">
        <v>421</v>
      </c>
      <c r="E70" s="81" t="s">
        <v>402</v>
      </c>
      <c r="F70" s="81" t="s">
        <v>1112</v>
      </c>
      <c r="G70" s="66">
        <v>27</v>
      </c>
      <c r="H70" s="83">
        <v>1000</v>
      </c>
      <c r="I70" s="82">
        <v>3</v>
      </c>
      <c r="J70" s="84" t="s">
        <v>25</v>
      </c>
      <c r="K70" s="89">
        <v>1</v>
      </c>
      <c r="L70" s="82">
        <v>0</v>
      </c>
      <c r="M70" s="82">
        <f>H70*G70*5/100</f>
        <v>1350</v>
      </c>
      <c r="N70" s="82">
        <f>M70*0.15*7</f>
        <v>1417.5</v>
      </c>
      <c r="O70" s="82">
        <f>M70*6.6*7+N70*2</f>
        <v>65205</v>
      </c>
      <c r="P70" s="87">
        <v>1</v>
      </c>
      <c r="Q70" s="87">
        <v>1</v>
      </c>
      <c r="R70" s="82">
        <f t="shared" si="1"/>
        <v>2025000</v>
      </c>
      <c r="S70" s="82">
        <f t="shared" si="9"/>
        <v>2025000</v>
      </c>
      <c r="T70" s="82">
        <f t="shared" si="2"/>
        <v>0</v>
      </c>
      <c r="U70" s="82">
        <f t="shared" si="4"/>
        <v>2025000</v>
      </c>
    </row>
    <row r="71" spans="1:21" s="42" customFormat="1" ht="26.25" customHeight="1">
      <c r="A71" s="91">
        <v>65</v>
      </c>
      <c r="B71" s="81" t="s">
        <v>46</v>
      </c>
      <c r="C71" s="327" t="s">
        <v>426</v>
      </c>
      <c r="D71" s="262" t="s">
        <v>421</v>
      </c>
      <c r="E71" s="81" t="s">
        <v>402</v>
      </c>
      <c r="F71" s="81" t="s">
        <v>1112</v>
      </c>
      <c r="G71" s="66">
        <v>27</v>
      </c>
      <c r="H71" s="83">
        <v>1000</v>
      </c>
      <c r="I71" s="82">
        <v>3</v>
      </c>
      <c r="J71" s="84" t="s">
        <v>25</v>
      </c>
      <c r="K71" s="89">
        <v>1</v>
      </c>
      <c r="L71" s="82">
        <v>0</v>
      </c>
      <c r="M71" s="82">
        <f>H71*G71*5/100</f>
        <v>1350</v>
      </c>
      <c r="N71" s="82">
        <f>M71*0.15*7</f>
        <v>1417.5</v>
      </c>
      <c r="O71" s="82">
        <f>M71*6.6*7+N71*2</f>
        <v>65205</v>
      </c>
      <c r="P71" s="87">
        <v>1</v>
      </c>
      <c r="Q71" s="87">
        <v>1</v>
      </c>
      <c r="R71" s="82">
        <f t="shared" si="1"/>
        <v>2025000</v>
      </c>
      <c r="S71" s="82">
        <f aca="true" t="shared" si="15" ref="S71:S81">R71*Q71*P71*K71</f>
        <v>2025000</v>
      </c>
      <c r="T71" s="82">
        <f t="shared" si="2"/>
        <v>0</v>
      </c>
      <c r="U71" s="82">
        <f t="shared" si="4"/>
        <v>2025000</v>
      </c>
    </row>
    <row r="72" spans="1:21" s="42" customFormat="1" ht="31.5" customHeight="1">
      <c r="A72" s="91">
        <v>66</v>
      </c>
      <c r="B72" s="81" t="s">
        <v>46</v>
      </c>
      <c r="C72" s="327" t="s">
        <v>427</v>
      </c>
      <c r="D72" s="262" t="s">
        <v>421</v>
      </c>
      <c r="E72" s="81" t="s">
        <v>402</v>
      </c>
      <c r="F72" s="81" t="s">
        <v>1112</v>
      </c>
      <c r="G72" s="66">
        <v>27</v>
      </c>
      <c r="H72" s="83">
        <v>1000</v>
      </c>
      <c r="I72" s="82">
        <v>3</v>
      </c>
      <c r="J72" s="84" t="s">
        <v>25</v>
      </c>
      <c r="K72" s="89">
        <v>1</v>
      </c>
      <c r="L72" s="82">
        <v>0</v>
      </c>
      <c r="M72" s="82">
        <f>H72*G72/5</f>
        <v>5400</v>
      </c>
      <c r="N72" s="82">
        <f>M72*0.15*5.5</f>
        <v>4455</v>
      </c>
      <c r="O72" s="82">
        <f>M72*6.6*5.5+N72*2</f>
        <v>204930</v>
      </c>
      <c r="P72" s="87">
        <v>1</v>
      </c>
      <c r="Q72" s="87">
        <v>1</v>
      </c>
      <c r="R72" s="82">
        <f t="shared" si="1"/>
        <v>2025000</v>
      </c>
      <c r="S72" s="82">
        <f t="shared" si="15"/>
        <v>2025000</v>
      </c>
      <c r="T72" s="82">
        <f t="shared" si="2"/>
        <v>0</v>
      </c>
      <c r="U72" s="82">
        <f t="shared" si="4"/>
        <v>2025000</v>
      </c>
    </row>
    <row r="73" spans="1:21" s="42" customFormat="1" ht="27.75" customHeight="1">
      <c r="A73" s="91">
        <v>67</v>
      </c>
      <c r="B73" s="81" t="s">
        <v>46</v>
      </c>
      <c r="C73" s="327" t="s">
        <v>428</v>
      </c>
      <c r="D73" s="262" t="s">
        <v>421</v>
      </c>
      <c r="E73" s="81" t="s">
        <v>402</v>
      </c>
      <c r="F73" s="81" t="s">
        <v>1112</v>
      </c>
      <c r="G73" s="66">
        <v>27</v>
      </c>
      <c r="H73" s="82">
        <v>1000</v>
      </c>
      <c r="I73" s="82">
        <v>3</v>
      </c>
      <c r="J73" s="84" t="s">
        <v>25</v>
      </c>
      <c r="K73" s="89">
        <v>1</v>
      </c>
      <c r="L73" s="82">
        <v>0</v>
      </c>
      <c r="M73" s="111">
        <f>H73*G73/5</f>
        <v>5400</v>
      </c>
      <c r="N73" s="111">
        <f>M73*0.15*5.5</f>
        <v>4455</v>
      </c>
      <c r="O73" s="111">
        <f>M73*6.6*5.5+N73*2</f>
        <v>204930</v>
      </c>
      <c r="P73" s="87">
        <v>1</v>
      </c>
      <c r="Q73" s="87">
        <v>1</v>
      </c>
      <c r="R73" s="82">
        <f t="shared" si="1"/>
        <v>2025000</v>
      </c>
      <c r="S73" s="82">
        <f t="shared" si="15"/>
        <v>2025000</v>
      </c>
      <c r="T73" s="82">
        <f t="shared" si="2"/>
        <v>0</v>
      </c>
      <c r="U73" s="82">
        <f t="shared" si="4"/>
        <v>2025000</v>
      </c>
    </row>
    <row r="74" spans="1:21" s="42" customFormat="1" ht="31.5" customHeight="1">
      <c r="A74" s="91">
        <v>68</v>
      </c>
      <c r="B74" s="81" t="s">
        <v>46</v>
      </c>
      <c r="C74" s="327" t="s">
        <v>429</v>
      </c>
      <c r="D74" s="262" t="s">
        <v>421</v>
      </c>
      <c r="E74" s="81" t="s">
        <v>402</v>
      </c>
      <c r="F74" s="81" t="s">
        <v>1112</v>
      </c>
      <c r="G74" s="66">
        <v>27</v>
      </c>
      <c r="H74" s="82">
        <v>1000</v>
      </c>
      <c r="I74" s="82">
        <v>3</v>
      </c>
      <c r="J74" s="84" t="s">
        <v>25</v>
      </c>
      <c r="K74" s="89">
        <v>1</v>
      </c>
      <c r="L74" s="82">
        <v>0</v>
      </c>
      <c r="M74" s="82">
        <f>H74*G74/5</f>
        <v>5400</v>
      </c>
      <c r="N74" s="82">
        <f>M74*0.15*5.5</f>
        <v>4455</v>
      </c>
      <c r="O74" s="82">
        <f>M74*6.6*5.5+N74*2</f>
        <v>204930</v>
      </c>
      <c r="P74" s="87">
        <v>1</v>
      </c>
      <c r="Q74" s="87">
        <v>1</v>
      </c>
      <c r="R74" s="82">
        <f t="shared" si="1"/>
        <v>2025000</v>
      </c>
      <c r="S74" s="82">
        <f t="shared" si="15"/>
        <v>2025000</v>
      </c>
      <c r="T74" s="82">
        <f t="shared" si="2"/>
        <v>0</v>
      </c>
      <c r="U74" s="82">
        <f t="shared" si="4"/>
        <v>2025000</v>
      </c>
    </row>
    <row r="75" spans="1:21" s="42" customFormat="1" ht="25.5" customHeight="1">
      <c r="A75" s="91">
        <v>69</v>
      </c>
      <c r="B75" s="81" t="s">
        <v>46</v>
      </c>
      <c r="C75" s="327" t="s">
        <v>430</v>
      </c>
      <c r="D75" s="262" t="s">
        <v>421</v>
      </c>
      <c r="E75" s="81" t="s">
        <v>402</v>
      </c>
      <c r="F75" s="81" t="s">
        <v>1112</v>
      </c>
      <c r="G75" s="66">
        <v>27</v>
      </c>
      <c r="H75" s="82">
        <v>1000</v>
      </c>
      <c r="I75" s="82">
        <v>3</v>
      </c>
      <c r="J75" s="84" t="s">
        <v>25</v>
      </c>
      <c r="K75" s="89">
        <v>1</v>
      </c>
      <c r="L75" s="82">
        <v>0</v>
      </c>
      <c r="M75" s="82">
        <f>H75*G75*5/100</f>
        <v>1350</v>
      </c>
      <c r="N75" s="82">
        <f>M75*0.15*7</f>
        <v>1417.5</v>
      </c>
      <c r="O75" s="82">
        <f>M75*6.6*7+N75*2</f>
        <v>65205</v>
      </c>
      <c r="P75" s="87">
        <v>1</v>
      </c>
      <c r="Q75" s="87">
        <v>1</v>
      </c>
      <c r="R75" s="82">
        <f t="shared" si="1"/>
        <v>2025000</v>
      </c>
      <c r="S75" s="82">
        <f t="shared" si="15"/>
        <v>2025000</v>
      </c>
      <c r="T75" s="82">
        <f t="shared" si="2"/>
        <v>0</v>
      </c>
      <c r="U75" s="82">
        <f t="shared" si="4"/>
        <v>2025000</v>
      </c>
    </row>
    <row r="76" spans="1:21" s="42" customFormat="1" ht="25.5" customHeight="1">
      <c r="A76" s="91">
        <v>70</v>
      </c>
      <c r="B76" s="81" t="s">
        <v>17</v>
      </c>
      <c r="C76" s="327" t="s">
        <v>1032</v>
      </c>
      <c r="D76" s="105" t="s">
        <v>432</v>
      </c>
      <c r="E76" s="81" t="s">
        <v>374</v>
      </c>
      <c r="F76" s="81" t="s">
        <v>1112</v>
      </c>
      <c r="G76" s="66">
        <v>27</v>
      </c>
      <c r="H76" s="82">
        <v>1500</v>
      </c>
      <c r="I76" s="82">
        <v>1</v>
      </c>
      <c r="J76" s="88" t="s">
        <v>62</v>
      </c>
      <c r="K76" s="89">
        <v>1</v>
      </c>
      <c r="L76" s="82">
        <v>0</v>
      </c>
      <c r="M76" s="82">
        <f>H76*G76*5/100</f>
        <v>2025</v>
      </c>
      <c r="N76" s="82">
        <f>M76*0.15*7</f>
        <v>2126.25</v>
      </c>
      <c r="O76" s="82">
        <f>M76*6.6*7+N76*2</f>
        <v>97807.5</v>
      </c>
      <c r="P76" s="82">
        <v>1</v>
      </c>
      <c r="Q76" s="82">
        <v>1</v>
      </c>
      <c r="R76" s="82">
        <f t="shared" si="1"/>
        <v>2025000</v>
      </c>
      <c r="S76" s="82">
        <f t="shared" si="15"/>
        <v>2025000</v>
      </c>
      <c r="T76" s="82">
        <f t="shared" si="2"/>
        <v>0</v>
      </c>
      <c r="U76" s="82">
        <f t="shared" si="4"/>
        <v>2025000</v>
      </c>
    </row>
    <row r="77" spans="1:21" s="42" customFormat="1" ht="20.25" customHeight="1">
      <c r="A77" s="91">
        <v>71</v>
      </c>
      <c r="B77" s="81" t="s">
        <v>17</v>
      </c>
      <c r="C77" s="327" t="s">
        <v>1033</v>
      </c>
      <c r="D77" s="105" t="s">
        <v>1014</v>
      </c>
      <c r="E77" s="81" t="s">
        <v>374</v>
      </c>
      <c r="F77" s="81" t="s">
        <v>1112</v>
      </c>
      <c r="G77" s="66">
        <v>27</v>
      </c>
      <c r="H77" s="82">
        <v>1500</v>
      </c>
      <c r="I77" s="82">
        <v>1</v>
      </c>
      <c r="J77" s="88" t="s">
        <v>62</v>
      </c>
      <c r="K77" s="89">
        <v>1</v>
      </c>
      <c r="L77" s="82">
        <v>0</v>
      </c>
      <c r="M77" s="82">
        <f>H77*G77/5</f>
        <v>8100</v>
      </c>
      <c r="N77" s="82">
        <f>M77*0.15*5.5</f>
        <v>6682.5</v>
      </c>
      <c r="O77" s="82">
        <f>M77*6.6*5.5+N77*2</f>
        <v>307395</v>
      </c>
      <c r="P77" s="82">
        <v>1</v>
      </c>
      <c r="Q77" s="82">
        <v>1</v>
      </c>
      <c r="R77" s="82">
        <f t="shared" si="1"/>
        <v>2025000</v>
      </c>
      <c r="S77" s="82">
        <f t="shared" si="15"/>
        <v>2025000</v>
      </c>
      <c r="T77" s="82">
        <f t="shared" si="2"/>
        <v>0</v>
      </c>
      <c r="U77" s="82">
        <f t="shared" si="4"/>
        <v>2025000</v>
      </c>
    </row>
    <row r="78" spans="1:21" s="42" customFormat="1" ht="20.25" customHeight="1">
      <c r="A78" s="91">
        <v>72</v>
      </c>
      <c r="B78" s="81" t="s">
        <v>17</v>
      </c>
      <c r="C78" s="330" t="s">
        <v>959</v>
      </c>
      <c r="D78" s="105" t="s">
        <v>960</v>
      </c>
      <c r="E78" s="81" t="s">
        <v>374</v>
      </c>
      <c r="F78" s="81" t="s">
        <v>1112</v>
      </c>
      <c r="G78" s="66">
        <v>20</v>
      </c>
      <c r="H78" s="82">
        <v>900</v>
      </c>
      <c r="I78" s="82">
        <v>3</v>
      </c>
      <c r="J78" s="88" t="s">
        <v>25</v>
      </c>
      <c r="K78" s="89">
        <v>1</v>
      </c>
      <c r="L78" s="82">
        <v>0</v>
      </c>
      <c r="M78" s="82">
        <f>H78*G78/5</f>
        <v>3600</v>
      </c>
      <c r="N78" s="82">
        <f>M78*0.15*5.5</f>
        <v>2970</v>
      </c>
      <c r="O78" s="82">
        <f>M78*6.6*5.5+N78*2</f>
        <v>136620</v>
      </c>
      <c r="P78" s="82">
        <v>1</v>
      </c>
      <c r="Q78" s="82">
        <v>1</v>
      </c>
      <c r="R78" s="82">
        <f t="shared" si="1"/>
        <v>2025000</v>
      </c>
      <c r="S78" s="82">
        <f t="shared" si="15"/>
        <v>2025000</v>
      </c>
      <c r="T78" s="82">
        <f t="shared" si="2"/>
        <v>0</v>
      </c>
      <c r="U78" s="82">
        <f t="shared" si="4"/>
        <v>2025000</v>
      </c>
    </row>
    <row r="79" spans="1:21" s="42" customFormat="1" ht="20.25" customHeight="1">
      <c r="A79" s="91">
        <v>73</v>
      </c>
      <c r="B79" s="81" t="s">
        <v>17</v>
      </c>
      <c r="C79" s="330" t="s">
        <v>975</v>
      </c>
      <c r="D79" s="105" t="s">
        <v>976</v>
      </c>
      <c r="E79" s="81" t="s">
        <v>386</v>
      </c>
      <c r="F79" s="81" t="s">
        <v>1138</v>
      </c>
      <c r="G79" s="66">
        <v>9</v>
      </c>
      <c r="H79" s="82">
        <v>900</v>
      </c>
      <c r="I79" s="82">
        <v>3</v>
      </c>
      <c r="J79" s="88" t="s">
        <v>50</v>
      </c>
      <c r="K79" s="89">
        <v>1</v>
      </c>
      <c r="L79" s="82">
        <v>0</v>
      </c>
      <c r="M79" s="82">
        <f aca="true" t="shared" si="16" ref="M79:M136">H79*G79/5</f>
        <v>1620</v>
      </c>
      <c r="N79" s="82">
        <f aca="true" t="shared" si="17" ref="N79:N136">M79*0.15*5.5</f>
        <v>1336.5</v>
      </c>
      <c r="O79" s="82">
        <f aca="true" t="shared" si="18" ref="O79:O136">M79*6.6*5.5+N79*2</f>
        <v>61479</v>
      </c>
      <c r="P79" s="82">
        <v>1</v>
      </c>
      <c r="Q79" s="82">
        <v>1</v>
      </c>
      <c r="R79" s="82">
        <f t="shared" si="1"/>
        <v>2025000</v>
      </c>
      <c r="S79" s="82">
        <f t="shared" si="15"/>
        <v>2025000</v>
      </c>
      <c r="T79" s="82">
        <f t="shared" si="2"/>
        <v>0</v>
      </c>
      <c r="U79" s="82">
        <f t="shared" si="4"/>
        <v>2025000</v>
      </c>
    </row>
    <row r="80" spans="1:21" s="42" customFormat="1" ht="20.25" customHeight="1">
      <c r="A80" s="91">
        <v>74</v>
      </c>
      <c r="B80" s="81" t="s">
        <v>17</v>
      </c>
      <c r="C80" s="330" t="s">
        <v>1009</v>
      </c>
      <c r="D80" s="105" t="s">
        <v>1008</v>
      </c>
      <c r="E80" s="81" t="s">
        <v>384</v>
      </c>
      <c r="F80" s="81" t="s">
        <v>1112</v>
      </c>
      <c r="G80" s="106">
        <v>30</v>
      </c>
      <c r="H80" s="107">
        <f>2234/3</f>
        <v>744.6666666666666</v>
      </c>
      <c r="I80" s="82">
        <v>3</v>
      </c>
      <c r="J80" s="88" t="s">
        <v>40</v>
      </c>
      <c r="K80" s="89">
        <v>1</v>
      </c>
      <c r="L80" s="82">
        <v>0</v>
      </c>
      <c r="M80" s="82">
        <f t="shared" si="16"/>
        <v>4468</v>
      </c>
      <c r="N80" s="82">
        <f t="shared" si="17"/>
        <v>3686.0999999999995</v>
      </c>
      <c r="O80" s="82">
        <f t="shared" si="18"/>
        <v>169560.6</v>
      </c>
      <c r="P80" s="82">
        <v>1</v>
      </c>
      <c r="Q80" s="82">
        <v>1</v>
      </c>
      <c r="R80" s="82">
        <f t="shared" si="1"/>
        <v>2025000</v>
      </c>
      <c r="S80" s="82">
        <f t="shared" si="15"/>
        <v>2025000</v>
      </c>
      <c r="T80" s="82">
        <f t="shared" si="2"/>
        <v>0</v>
      </c>
      <c r="U80" s="82">
        <f t="shared" si="4"/>
        <v>2025000</v>
      </c>
    </row>
    <row r="81" spans="1:21" s="42" customFormat="1" ht="20.25" customHeight="1">
      <c r="A81" s="91">
        <v>75</v>
      </c>
      <c r="B81" s="81" t="s">
        <v>46</v>
      </c>
      <c r="C81" s="330" t="s">
        <v>1011</v>
      </c>
      <c r="D81" s="105" t="s">
        <v>1008</v>
      </c>
      <c r="E81" s="81" t="s">
        <v>384</v>
      </c>
      <c r="F81" s="81" t="s">
        <v>1112</v>
      </c>
      <c r="G81" s="106">
        <v>30</v>
      </c>
      <c r="H81" s="107">
        <f>2234/3</f>
        <v>744.6666666666666</v>
      </c>
      <c r="I81" s="82">
        <v>3</v>
      </c>
      <c r="J81" s="88" t="s">
        <v>62</v>
      </c>
      <c r="K81" s="89">
        <v>1</v>
      </c>
      <c r="L81" s="82">
        <v>0</v>
      </c>
      <c r="M81" s="82">
        <f>H81*G81*5/100</f>
        <v>1117</v>
      </c>
      <c r="N81" s="82">
        <f>M81*0.15*7</f>
        <v>1172.85</v>
      </c>
      <c r="O81" s="82">
        <f>M81*6.6*7+N81*2</f>
        <v>53951.1</v>
      </c>
      <c r="P81" s="82">
        <v>1</v>
      </c>
      <c r="Q81" s="82">
        <v>1</v>
      </c>
      <c r="R81" s="82">
        <f t="shared" si="1"/>
        <v>2025000</v>
      </c>
      <c r="S81" s="82">
        <f t="shared" si="15"/>
        <v>2025000</v>
      </c>
      <c r="T81" s="82">
        <f t="shared" si="2"/>
        <v>0</v>
      </c>
      <c r="U81" s="82">
        <f t="shared" si="4"/>
        <v>2025000</v>
      </c>
    </row>
    <row r="82" spans="1:21" s="42" customFormat="1" ht="20.25" customHeight="1">
      <c r="A82" s="91">
        <v>76</v>
      </c>
      <c r="B82" s="81" t="s">
        <v>46</v>
      </c>
      <c r="C82" s="330" t="s">
        <v>1010</v>
      </c>
      <c r="D82" s="105" t="s">
        <v>1008</v>
      </c>
      <c r="E82" s="81" t="s">
        <v>384</v>
      </c>
      <c r="F82" s="81" t="s">
        <v>1112</v>
      </c>
      <c r="G82" s="106">
        <v>30</v>
      </c>
      <c r="H82" s="107">
        <f>2234/3</f>
        <v>744.6666666666666</v>
      </c>
      <c r="I82" s="82">
        <v>3</v>
      </c>
      <c r="J82" s="88" t="s">
        <v>62</v>
      </c>
      <c r="K82" s="89">
        <v>1</v>
      </c>
      <c r="L82" s="82">
        <v>0</v>
      </c>
      <c r="M82" s="82">
        <f>H82*G82*5/100</f>
        <v>1117</v>
      </c>
      <c r="N82" s="82">
        <f>M82*0.15*7</f>
        <v>1172.85</v>
      </c>
      <c r="O82" s="82">
        <f>M82*6.6*7+N82*2</f>
        <v>53951.1</v>
      </c>
      <c r="P82" s="82">
        <v>1</v>
      </c>
      <c r="Q82" s="82">
        <v>1</v>
      </c>
      <c r="R82" s="82">
        <f aca="true" t="shared" si="19" ref="R82:R145">90*$R$2</f>
        <v>2025000</v>
      </c>
      <c r="S82" s="82">
        <f aca="true" t="shared" si="20" ref="S82:S101">R82*Q82*P82*K82</f>
        <v>2025000</v>
      </c>
      <c r="T82" s="82">
        <f t="shared" si="2"/>
        <v>0</v>
      </c>
      <c r="U82" s="82">
        <f t="shared" si="4"/>
        <v>2025000</v>
      </c>
    </row>
    <row r="83" spans="1:21" s="42" customFormat="1" ht="20.25" customHeight="1">
      <c r="A83" s="91">
        <v>77</v>
      </c>
      <c r="B83" s="81" t="s">
        <v>17</v>
      </c>
      <c r="C83" s="330" t="s">
        <v>1039</v>
      </c>
      <c r="D83" s="105" t="s">
        <v>1040</v>
      </c>
      <c r="E83" s="81" t="s">
        <v>396</v>
      </c>
      <c r="F83" s="81" t="s">
        <v>1138</v>
      </c>
      <c r="G83" s="106">
        <v>17</v>
      </c>
      <c r="H83" s="107">
        <v>1000</v>
      </c>
      <c r="I83" s="82">
        <v>4</v>
      </c>
      <c r="J83" s="88" t="s">
        <v>43</v>
      </c>
      <c r="K83" s="89">
        <v>1</v>
      </c>
      <c r="L83" s="82">
        <v>0</v>
      </c>
      <c r="M83" s="82">
        <f t="shared" si="16"/>
        <v>3400</v>
      </c>
      <c r="N83" s="82">
        <f t="shared" si="17"/>
        <v>2805</v>
      </c>
      <c r="O83" s="82">
        <f t="shared" si="18"/>
        <v>129030</v>
      </c>
      <c r="P83" s="82">
        <v>1</v>
      </c>
      <c r="Q83" s="82">
        <v>1</v>
      </c>
      <c r="R83" s="82">
        <f t="shared" si="19"/>
        <v>2025000</v>
      </c>
      <c r="S83" s="82">
        <f t="shared" si="20"/>
        <v>2025000</v>
      </c>
      <c r="T83" s="82">
        <f t="shared" si="2"/>
        <v>0</v>
      </c>
      <c r="U83" s="82">
        <f t="shared" si="4"/>
        <v>2025000</v>
      </c>
    </row>
    <row r="84" spans="1:21" s="42" customFormat="1" ht="20.25" customHeight="1">
      <c r="A84" s="91">
        <v>78</v>
      </c>
      <c r="B84" s="108" t="s">
        <v>17</v>
      </c>
      <c r="C84" s="331" t="s">
        <v>1086</v>
      </c>
      <c r="D84" s="164" t="s">
        <v>437</v>
      </c>
      <c r="E84" s="108" t="s">
        <v>374</v>
      </c>
      <c r="F84" s="108" t="s">
        <v>1131</v>
      </c>
      <c r="G84" s="109">
        <v>21</v>
      </c>
      <c r="H84" s="110">
        <v>1000</v>
      </c>
      <c r="I84" s="111">
        <v>4</v>
      </c>
      <c r="J84" s="112" t="s">
        <v>62</v>
      </c>
      <c r="K84" s="113">
        <v>1</v>
      </c>
      <c r="L84" s="111">
        <v>0</v>
      </c>
      <c r="M84" s="82">
        <f t="shared" si="16"/>
        <v>4200</v>
      </c>
      <c r="N84" s="82">
        <f t="shared" si="17"/>
        <v>3465</v>
      </c>
      <c r="O84" s="82">
        <f t="shared" si="18"/>
        <v>159390</v>
      </c>
      <c r="P84" s="111">
        <v>1</v>
      </c>
      <c r="Q84" s="111">
        <v>1</v>
      </c>
      <c r="R84" s="111">
        <f t="shared" si="19"/>
        <v>2025000</v>
      </c>
      <c r="S84" s="111">
        <f t="shared" si="20"/>
        <v>2025000</v>
      </c>
      <c r="T84" s="111">
        <f aca="true" t="shared" si="21" ref="T84:T136">L84*P84*Q84*R84</f>
        <v>0</v>
      </c>
      <c r="U84" s="111">
        <f aca="true" t="shared" si="22" ref="U84:U136">R84*P84*Q84</f>
        <v>2025000</v>
      </c>
    </row>
    <row r="85" spans="1:21" s="42" customFormat="1" ht="20.25" customHeight="1">
      <c r="A85" s="91">
        <v>79</v>
      </c>
      <c r="B85" s="81" t="s">
        <v>17</v>
      </c>
      <c r="C85" s="329" t="s">
        <v>1161</v>
      </c>
      <c r="D85" s="264" t="s">
        <v>1162</v>
      </c>
      <c r="E85" s="81" t="s">
        <v>384</v>
      </c>
      <c r="F85" s="81" t="s">
        <v>1163</v>
      </c>
      <c r="G85" s="114">
        <v>6</v>
      </c>
      <c r="H85" s="115">
        <v>3000</v>
      </c>
      <c r="I85" s="82">
        <v>3</v>
      </c>
      <c r="J85" s="88" t="s">
        <v>62</v>
      </c>
      <c r="K85" s="89">
        <v>1</v>
      </c>
      <c r="L85" s="82"/>
      <c r="M85" s="82">
        <f t="shared" si="16"/>
        <v>3600</v>
      </c>
      <c r="N85" s="82">
        <f t="shared" si="17"/>
        <v>2970</v>
      </c>
      <c r="O85" s="82">
        <f t="shared" si="18"/>
        <v>136620</v>
      </c>
      <c r="P85" s="82">
        <v>1</v>
      </c>
      <c r="Q85" s="82">
        <v>1</v>
      </c>
      <c r="R85" s="82">
        <f t="shared" si="19"/>
        <v>2025000</v>
      </c>
      <c r="S85" s="82">
        <f t="shared" si="20"/>
        <v>2025000</v>
      </c>
      <c r="T85" s="82">
        <f t="shared" si="21"/>
        <v>0</v>
      </c>
      <c r="U85" s="82">
        <f t="shared" si="22"/>
        <v>2025000</v>
      </c>
    </row>
    <row r="86" spans="1:21" s="42" customFormat="1" ht="20.25" customHeight="1">
      <c r="A86" s="91">
        <v>80</v>
      </c>
      <c r="B86" s="81" t="s">
        <v>46</v>
      </c>
      <c r="C86" s="329" t="s">
        <v>1164</v>
      </c>
      <c r="D86" s="264" t="s">
        <v>1162</v>
      </c>
      <c r="E86" s="81" t="s">
        <v>384</v>
      </c>
      <c r="F86" s="81" t="s">
        <v>1163</v>
      </c>
      <c r="G86" s="114">
        <v>25</v>
      </c>
      <c r="H86" s="115">
        <v>3000</v>
      </c>
      <c r="I86" s="82">
        <v>3</v>
      </c>
      <c r="J86" s="88" t="s">
        <v>62</v>
      </c>
      <c r="K86" s="89">
        <v>1</v>
      </c>
      <c r="L86" s="82"/>
      <c r="M86" s="82">
        <f>H86*G86*5/100</f>
        <v>3750</v>
      </c>
      <c r="N86" s="82">
        <f>M86*0.15*7</f>
        <v>3937.5</v>
      </c>
      <c r="O86" s="82">
        <f>M86*6.6*7+N86*2</f>
        <v>181125</v>
      </c>
      <c r="P86" s="82">
        <v>1</v>
      </c>
      <c r="Q86" s="82">
        <v>1</v>
      </c>
      <c r="R86" s="82">
        <f t="shared" si="19"/>
        <v>2025000</v>
      </c>
      <c r="S86" s="82">
        <f t="shared" si="20"/>
        <v>2025000</v>
      </c>
      <c r="T86" s="82">
        <f t="shared" si="21"/>
        <v>0</v>
      </c>
      <c r="U86" s="82">
        <f t="shared" si="22"/>
        <v>2025000</v>
      </c>
    </row>
    <row r="87" spans="1:21" s="42" customFormat="1" ht="20.25" customHeight="1">
      <c r="A87" s="91">
        <v>81</v>
      </c>
      <c r="B87" s="81" t="s">
        <v>46</v>
      </c>
      <c r="C87" s="329" t="s">
        <v>1165</v>
      </c>
      <c r="D87" s="264" t="s">
        <v>1162</v>
      </c>
      <c r="E87" s="81" t="s">
        <v>384</v>
      </c>
      <c r="F87" s="81" t="s">
        <v>1163</v>
      </c>
      <c r="G87" s="114">
        <v>25</v>
      </c>
      <c r="H87" s="115">
        <v>3000</v>
      </c>
      <c r="I87" s="82">
        <v>3</v>
      </c>
      <c r="J87" s="88" t="s">
        <v>62</v>
      </c>
      <c r="K87" s="89">
        <v>1</v>
      </c>
      <c r="L87" s="82"/>
      <c r="M87" s="82">
        <f>H87*G87*5/100</f>
        <v>3750</v>
      </c>
      <c r="N87" s="82">
        <f>M87*0.15*7</f>
        <v>3937.5</v>
      </c>
      <c r="O87" s="82">
        <f>M87*6.6*7+N87*2</f>
        <v>181125</v>
      </c>
      <c r="P87" s="82">
        <v>1</v>
      </c>
      <c r="Q87" s="82">
        <v>1</v>
      </c>
      <c r="R87" s="82">
        <f t="shared" si="19"/>
        <v>2025000</v>
      </c>
      <c r="S87" s="82">
        <f t="shared" si="20"/>
        <v>2025000</v>
      </c>
      <c r="T87" s="82">
        <f t="shared" si="21"/>
        <v>0</v>
      </c>
      <c r="U87" s="82">
        <f t="shared" si="22"/>
        <v>2025000</v>
      </c>
    </row>
    <row r="88" spans="1:21" s="42" customFormat="1" ht="29.25" customHeight="1">
      <c r="A88" s="91">
        <v>82</v>
      </c>
      <c r="B88" s="81" t="s">
        <v>17</v>
      </c>
      <c r="C88" s="329" t="s">
        <v>1193</v>
      </c>
      <c r="D88" s="264" t="s">
        <v>1192</v>
      </c>
      <c r="E88" s="81" t="s">
        <v>386</v>
      </c>
      <c r="F88" s="81" t="s">
        <v>1138</v>
      </c>
      <c r="G88" s="114">
        <v>15</v>
      </c>
      <c r="H88" s="115">
        <v>1500</v>
      </c>
      <c r="I88" s="82">
        <v>6</v>
      </c>
      <c r="J88" s="88" t="s">
        <v>66</v>
      </c>
      <c r="K88" s="89">
        <v>1</v>
      </c>
      <c r="L88" s="82"/>
      <c r="M88" s="82">
        <f t="shared" si="16"/>
        <v>4500</v>
      </c>
      <c r="N88" s="82">
        <f t="shared" si="17"/>
        <v>3712.5</v>
      </c>
      <c r="O88" s="82">
        <f t="shared" si="18"/>
        <v>170775</v>
      </c>
      <c r="P88" s="82">
        <v>1</v>
      </c>
      <c r="Q88" s="82">
        <v>1</v>
      </c>
      <c r="R88" s="82">
        <f t="shared" si="19"/>
        <v>2025000</v>
      </c>
      <c r="S88" s="82">
        <f t="shared" si="20"/>
        <v>2025000</v>
      </c>
      <c r="T88" s="82">
        <f t="shared" si="21"/>
        <v>0</v>
      </c>
      <c r="U88" s="82">
        <f t="shared" si="22"/>
        <v>2025000</v>
      </c>
    </row>
    <row r="89" spans="1:21" s="42" customFormat="1" ht="25.5" customHeight="1">
      <c r="A89" s="91">
        <v>83</v>
      </c>
      <c r="B89" s="81" t="s">
        <v>17</v>
      </c>
      <c r="C89" s="329" t="s">
        <v>1195</v>
      </c>
      <c r="D89" s="264" t="s">
        <v>1192</v>
      </c>
      <c r="E89" s="81" t="s">
        <v>386</v>
      </c>
      <c r="F89" s="81" t="s">
        <v>1138</v>
      </c>
      <c r="G89" s="114">
        <v>15</v>
      </c>
      <c r="H89" s="115">
        <v>1500</v>
      </c>
      <c r="I89" s="82">
        <v>2</v>
      </c>
      <c r="J89" s="88" t="s">
        <v>62</v>
      </c>
      <c r="K89" s="89">
        <v>1</v>
      </c>
      <c r="L89" s="82"/>
      <c r="M89" s="82">
        <f t="shared" si="16"/>
        <v>4500</v>
      </c>
      <c r="N89" s="82">
        <f t="shared" si="17"/>
        <v>3712.5</v>
      </c>
      <c r="O89" s="82">
        <f t="shared" si="18"/>
        <v>170775</v>
      </c>
      <c r="P89" s="82">
        <v>1</v>
      </c>
      <c r="Q89" s="82">
        <v>1</v>
      </c>
      <c r="R89" s="82">
        <f t="shared" si="19"/>
        <v>2025000</v>
      </c>
      <c r="S89" s="82">
        <f t="shared" si="20"/>
        <v>2025000</v>
      </c>
      <c r="T89" s="82">
        <f t="shared" si="21"/>
        <v>0</v>
      </c>
      <c r="U89" s="82">
        <f t="shared" si="22"/>
        <v>2025000</v>
      </c>
    </row>
    <row r="90" spans="1:22" s="46" customFormat="1" ht="29.25" customHeight="1">
      <c r="A90" s="91">
        <v>84</v>
      </c>
      <c r="B90" s="81" t="s">
        <v>1229</v>
      </c>
      <c r="C90" s="329" t="s">
        <v>1323</v>
      </c>
      <c r="D90" s="265" t="s">
        <v>1309</v>
      </c>
      <c r="E90" s="81" t="s">
        <v>396</v>
      </c>
      <c r="F90" s="81" t="s">
        <v>1310</v>
      </c>
      <c r="G90" s="103">
        <v>40</v>
      </c>
      <c r="H90" s="116">
        <v>2368</v>
      </c>
      <c r="I90" s="82">
        <v>4</v>
      </c>
      <c r="J90" s="88" t="s">
        <v>62</v>
      </c>
      <c r="K90" s="89">
        <v>1</v>
      </c>
      <c r="L90" s="82"/>
      <c r="M90" s="82">
        <f>(H90*10/5)+(H90*24*5/100)</f>
        <v>7577.6</v>
      </c>
      <c r="N90" s="82">
        <f>(H90*10/5*0.15*5.5)+(H90*24*5/100*0.15*7)</f>
        <v>6890.879999999999</v>
      </c>
      <c r="O90" s="82">
        <f>((10*H90/5*6.6*5.5)+(10*H90/5*0.15*5.5*2))+((24*H90*5/100*6.6*7)+(24*H90*5/100*0.15*7*2))</f>
        <v>316980.48</v>
      </c>
      <c r="P90" s="82">
        <v>1</v>
      </c>
      <c r="Q90" s="82">
        <v>1</v>
      </c>
      <c r="R90" s="82">
        <f t="shared" si="19"/>
        <v>2025000</v>
      </c>
      <c r="S90" s="82">
        <f t="shared" si="20"/>
        <v>2025000</v>
      </c>
      <c r="T90" s="82">
        <f t="shared" si="21"/>
        <v>0</v>
      </c>
      <c r="U90" s="82">
        <f t="shared" si="22"/>
        <v>2025000</v>
      </c>
      <c r="V90" s="42"/>
    </row>
    <row r="91" spans="1:22" s="46" customFormat="1" ht="27.75" customHeight="1">
      <c r="A91" s="91">
        <v>85</v>
      </c>
      <c r="B91" s="81" t="s">
        <v>1229</v>
      </c>
      <c r="C91" s="329" t="s">
        <v>1325</v>
      </c>
      <c r="D91" s="265" t="s">
        <v>1309</v>
      </c>
      <c r="E91" s="81" t="s">
        <v>396</v>
      </c>
      <c r="F91" s="81" t="s">
        <v>1310</v>
      </c>
      <c r="G91" s="103">
        <v>40</v>
      </c>
      <c r="H91" s="116">
        <v>2368</v>
      </c>
      <c r="I91" s="82">
        <v>4</v>
      </c>
      <c r="J91" s="88" t="s">
        <v>62</v>
      </c>
      <c r="K91" s="89">
        <v>1</v>
      </c>
      <c r="L91" s="82"/>
      <c r="M91" s="82">
        <f>(H91*10/5)+(H91*24*5/100)</f>
        <v>7577.6</v>
      </c>
      <c r="N91" s="82">
        <f>(H91*10/5*0.15*5.5)+(H91*24*5/100*0.15*7)</f>
        <v>6890.879999999999</v>
      </c>
      <c r="O91" s="82">
        <f>((10*H91/5*6.6*5.5)+(10*H91/5*0.15*5.5*2))+((24*H91*5/100*6.6*7)+(24*H91*5/100*0.15*7*2))</f>
        <v>316980.48</v>
      </c>
      <c r="P91" s="82">
        <v>1</v>
      </c>
      <c r="Q91" s="82">
        <v>1</v>
      </c>
      <c r="R91" s="82">
        <f t="shared" si="19"/>
        <v>2025000</v>
      </c>
      <c r="S91" s="82">
        <f>R91*Q91*P91*K91</f>
        <v>2025000</v>
      </c>
      <c r="T91" s="82">
        <f>L91*P91*Q91*R91</f>
        <v>0</v>
      </c>
      <c r="U91" s="82">
        <f>R91*P91*Q91</f>
        <v>2025000</v>
      </c>
      <c r="V91" s="42"/>
    </row>
    <row r="92" spans="1:22" s="46" customFormat="1" ht="29.25" customHeight="1">
      <c r="A92" s="91">
        <v>86</v>
      </c>
      <c r="B92" s="81" t="s">
        <v>1229</v>
      </c>
      <c r="C92" s="329" t="s">
        <v>1324</v>
      </c>
      <c r="D92" s="265" t="s">
        <v>1309</v>
      </c>
      <c r="E92" s="81" t="s">
        <v>396</v>
      </c>
      <c r="F92" s="81" t="s">
        <v>1311</v>
      </c>
      <c r="G92" s="103">
        <v>40</v>
      </c>
      <c r="H92" s="116">
        <v>2567</v>
      </c>
      <c r="I92" s="82">
        <v>4</v>
      </c>
      <c r="J92" s="88" t="s">
        <v>62</v>
      </c>
      <c r="K92" s="89">
        <v>1</v>
      </c>
      <c r="L92" s="82"/>
      <c r="M92" s="82">
        <f>(H92*10/5)+(H92*24*5/100)</f>
        <v>8214.4</v>
      </c>
      <c r="N92" s="82">
        <f>(H92*10/5*0.15*5.5)+(H92*24*5/100*0.15*7)</f>
        <v>7469.97</v>
      </c>
      <c r="O92" s="82">
        <f>((10*H92/5*6.6*5.5)+(10*H92/5*0.15*5.5*2))+((24*H92*5/100*6.6*7)+(24*H92*5/100*0.15*7*2))</f>
        <v>343618.62</v>
      </c>
      <c r="P92" s="82">
        <v>1</v>
      </c>
      <c r="Q92" s="82">
        <v>1</v>
      </c>
      <c r="R92" s="82">
        <f t="shared" si="19"/>
        <v>2025000</v>
      </c>
      <c r="S92" s="82">
        <f t="shared" si="20"/>
        <v>2025000</v>
      </c>
      <c r="T92" s="82">
        <f t="shared" si="21"/>
        <v>0</v>
      </c>
      <c r="U92" s="82">
        <f t="shared" si="22"/>
        <v>2025000</v>
      </c>
      <c r="V92" s="42"/>
    </row>
    <row r="93" spans="1:22" s="46" customFormat="1" ht="27.75" customHeight="1">
      <c r="A93" s="91">
        <v>87</v>
      </c>
      <c r="B93" s="81" t="s">
        <v>1229</v>
      </c>
      <c r="C93" s="329" t="s">
        <v>1326</v>
      </c>
      <c r="D93" s="265" t="s">
        <v>1309</v>
      </c>
      <c r="E93" s="81" t="s">
        <v>396</v>
      </c>
      <c r="F93" s="81" t="s">
        <v>1311</v>
      </c>
      <c r="G93" s="103">
        <v>40</v>
      </c>
      <c r="H93" s="116">
        <v>2567</v>
      </c>
      <c r="I93" s="82">
        <v>4</v>
      </c>
      <c r="J93" s="88" t="s">
        <v>62</v>
      </c>
      <c r="K93" s="89">
        <v>1</v>
      </c>
      <c r="L93" s="82"/>
      <c r="M93" s="82">
        <f>(H93*10/5)+(H93*24*5/100)</f>
        <v>8214.4</v>
      </c>
      <c r="N93" s="82">
        <f>(H93*10/5*0.15*5.5)+(H93*24*5/100*0.15*7)</f>
        <v>7469.97</v>
      </c>
      <c r="O93" s="82">
        <f>((10*H93/5*6.6*5.5)+(10*H93/5*0.15*5.5*2))+((24*H93*5/100*6.6*7)+(24*H93*5/100*0.15*7*2))</f>
        <v>343618.62</v>
      </c>
      <c r="P93" s="82">
        <v>1</v>
      </c>
      <c r="Q93" s="82">
        <v>1</v>
      </c>
      <c r="R93" s="82">
        <f t="shared" si="19"/>
        <v>2025000</v>
      </c>
      <c r="S93" s="82">
        <f t="shared" si="20"/>
        <v>2025000</v>
      </c>
      <c r="T93" s="82">
        <f t="shared" si="21"/>
        <v>0</v>
      </c>
      <c r="U93" s="82">
        <f t="shared" si="22"/>
        <v>2025000</v>
      </c>
      <c r="V93" s="42"/>
    </row>
    <row r="94" spans="1:22" s="46" customFormat="1" ht="27.75" customHeight="1">
      <c r="A94" s="91">
        <v>88</v>
      </c>
      <c r="B94" s="81" t="s">
        <v>1229</v>
      </c>
      <c r="C94" s="329" t="s">
        <v>1327</v>
      </c>
      <c r="D94" s="265" t="s">
        <v>1309</v>
      </c>
      <c r="E94" s="81" t="s">
        <v>396</v>
      </c>
      <c r="F94" s="81" t="s">
        <v>1311</v>
      </c>
      <c r="G94" s="103">
        <v>40</v>
      </c>
      <c r="H94" s="116">
        <v>2567</v>
      </c>
      <c r="I94" s="82">
        <v>4</v>
      </c>
      <c r="J94" s="88" t="s">
        <v>62</v>
      </c>
      <c r="K94" s="89">
        <v>1</v>
      </c>
      <c r="L94" s="82"/>
      <c r="M94" s="82">
        <f>(H94*10/5)+(H94*24*5/100)</f>
        <v>8214.4</v>
      </c>
      <c r="N94" s="82">
        <f>(H94*10/5*0.15*5.5)+(H94*24*5/100*0.15*7)</f>
        <v>7469.97</v>
      </c>
      <c r="O94" s="82">
        <f>((10*H94/5*6.6*5.5)+(10*H94/5*0.15*5.5*2))+((24*H94*5/100*6.6*7)+(24*H94*5/100*0.15*7*2))</f>
        <v>343618.62</v>
      </c>
      <c r="P94" s="82">
        <v>1</v>
      </c>
      <c r="Q94" s="82">
        <v>1</v>
      </c>
      <c r="R94" s="82">
        <f t="shared" si="19"/>
        <v>2025000</v>
      </c>
      <c r="S94" s="82">
        <f>R94*Q94*P94*K94</f>
        <v>2025000</v>
      </c>
      <c r="T94" s="82">
        <f>L94*P94*Q94*R94</f>
        <v>0</v>
      </c>
      <c r="U94" s="82">
        <f>R94*P94*Q94</f>
        <v>2025000</v>
      </c>
      <c r="V94" s="42"/>
    </row>
    <row r="95" spans="1:22" s="46" customFormat="1" ht="27" customHeight="1">
      <c r="A95" s="91">
        <v>89</v>
      </c>
      <c r="B95" s="81" t="s">
        <v>34</v>
      </c>
      <c r="C95" s="329" t="s">
        <v>1314</v>
      </c>
      <c r="D95" s="155" t="s">
        <v>1321</v>
      </c>
      <c r="E95" s="81" t="s">
        <v>378</v>
      </c>
      <c r="F95" s="81" t="s">
        <v>1138</v>
      </c>
      <c r="G95" s="103">
        <v>6</v>
      </c>
      <c r="H95" s="104">
        <v>3600</v>
      </c>
      <c r="I95" s="82">
        <v>4</v>
      </c>
      <c r="J95" s="88" t="s">
        <v>66</v>
      </c>
      <c r="K95" s="89">
        <v>1</v>
      </c>
      <c r="L95" s="82"/>
      <c r="M95" s="82">
        <f t="shared" si="16"/>
        <v>4320</v>
      </c>
      <c r="N95" s="82">
        <f t="shared" si="17"/>
        <v>3564</v>
      </c>
      <c r="O95" s="82">
        <f t="shared" si="18"/>
        <v>163944</v>
      </c>
      <c r="P95" s="82">
        <v>1</v>
      </c>
      <c r="Q95" s="82">
        <v>1</v>
      </c>
      <c r="R95" s="82">
        <f t="shared" si="19"/>
        <v>2025000</v>
      </c>
      <c r="S95" s="82">
        <f t="shared" si="20"/>
        <v>2025000</v>
      </c>
      <c r="T95" s="82">
        <f t="shared" si="21"/>
        <v>0</v>
      </c>
      <c r="U95" s="82">
        <f t="shared" si="22"/>
        <v>2025000</v>
      </c>
      <c r="V95" s="42"/>
    </row>
    <row r="96" spans="1:22" s="46" customFormat="1" ht="20.25" customHeight="1">
      <c r="A96" s="91">
        <v>90</v>
      </c>
      <c r="B96" s="81" t="s">
        <v>1229</v>
      </c>
      <c r="C96" s="329" t="s">
        <v>1315</v>
      </c>
      <c r="D96" s="156" t="s">
        <v>1318</v>
      </c>
      <c r="E96" s="81" t="s">
        <v>374</v>
      </c>
      <c r="F96" s="81" t="s">
        <v>1138</v>
      </c>
      <c r="G96" s="103">
        <v>29</v>
      </c>
      <c r="H96" s="104">
        <v>2000</v>
      </c>
      <c r="I96" s="82">
        <v>4</v>
      </c>
      <c r="J96" s="88" t="s">
        <v>21</v>
      </c>
      <c r="K96" s="89">
        <v>1</v>
      </c>
      <c r="L96" s="82"/>
      <c r="M96" s="82">
        <f>(H96*10/5)+(H96*24*5/100)</f>
        <v>6400</v>
      </c>
      <c r="N96" s="82">
        <f>(H96*10/5*0.15*5.5)+(H96*24*5/100*0.15*7)</f>
        <v>5820</v>
      </c>
      <c r="O96" s="82">
        <f>((10*H96/5*6.6*5.5)+(10*H96/5*0.15*5.5*2))+((24*H96*5/100*6.6*7)+(24*H96*5/100*0.15*7*2))</f>
        <v>267720</v>
      </c>
      <c r="P96" s="82">
        <v>1</v>
      </c>
      <c r="Q96" s="82">
        <v>1</v>
      </c>
      <c r="R96" s="82">
        <f t="shared" si="19"/>
        <v>2025000</v>
      </c>
      <c r="S96" s="82">
        <f t="shared" si="20"/>
        <v>2025000</v>
      </c>
      <c r="T96" s="82">
        <f t="shared" si="21"/>
        <v>0</v>
      </c>
      <c r="U96" s="82">
        <f t="shared" si="22"/>
        <v>2025000</v>
      </c>
      <c r="V96" s="42"/>
    </row>
    <row r="97" spans="1:22" s="46" customFormat="1" ht="20.25" customHeight="1">
      <c r="A97" s="91">
        <v>91</v>
      </c>
      <c r="B97" s="81" t="s">
        <v>1229</v>
      </c>
      <c r="C97" s="329" t="s">
        <v>1316</v>
      </c>
      <c r="D97" s="156" t="s">
        <v>1318</v>
      </c>
      <c r="E97" s="81" t="s">
        <v>374</v>
      </c>
      <c r="F97" s="81" t="s">
        <v>1138</v>
      </c>
      <c r="G97" s="103">
        <v>29</v>
      </c>
      <c r="H97" s="104">
        <v>1800</v>
      </c>
      <c r="I97" s="82">
        <v>3</v>
      </c>
      <c r="J97" s="88" t="s">
        <v>40</v>
      </c>
      <c r="K97" s="89">
        <v>1</v>
      </c>
      <c r="L97" s="82"/>
      <c r="M97" s="82">
        <f>(H97*10/5)+(H97*24*5/100)</f>
        <v>5760</v>
      </c>
      <c r="N97" s="82">
        <f>(H97*10/5*0.15*5.5)+(H97*24*5/100*0.15*7)</f>
        <v>5238</v>
      </c>
      <c r="O97" s="82">
        <f>((10*H97/5*6.6*5.5)+(10*H97/5*0.15*5.5*2))+((24*H97*5/100*6.6*7)+(24*H97*5/100*0.15*7*2))</f>
        <v>240948</v>
      </c>
      <c r="P97" s="82">
        <v>1</v>
      </c>
      <c r="Q97" s="82">
        <v>1</v>
      </c>
      <c r="R97" s="82">
        <f t="shared" si="19"/>
        <v>2025000</v>
      </c>
      <c r="S97" s="82">
        <f t="shared" si="20"/>
        <v>2025000</v>
      </c>
      <c r="T97" s="82">
        <f t="shared" si="21"/>
        <v>0</v>
      </c>
      <c r="U97" s="82">
        <f t="shared" si="22"/>
        <v>2025000</v>
      </c>
      <c r="V97" s="42"/>
    </row>
    <row r="98" spans="1:22" s="46" customFormat="1" ht="20.25" customHeight="1">
      <c r="A98" s="91">
        <v>92</v>
      </c>
      <c r="B98" s="81" t="s">
        <v>1229</v>
      </c>
      <c r="C98" s="329" t="s">
        <v>1317</v>
      </c>
      <c r="D98" s="156" t="s">
        <v>1318</v>
      </c>
      <c r="E98" s="81" t="s">
        <v>374</v>
      </c>
      <c r="F98" s="81" t="s">
        <v>1138</v>
      </c>
      <c r="G98" s="103">
        <v>29</v>
      </c>
      <c r="H98" s="104">
        <v>1800</v>
      </c>
      <c r="I98" s="82">
        <v>3</v>
      </c>
      <c r="J98" s="88" t="s">
        <v>40</v>
      </c>
      <c r="K98" s="89">
        <v>1</v>
      </c>
      <c r="L98" s="82"/>
      <c r="M98" s="82">
        <f>(H98*10/5)+(H98*24*5/100)</f>
        <v>5760</v>
      </c>
      <c r="N98" s="82">
        <f>(H98*10/5*0.15*5.5)+(H98*24*5/100*0.15*7)</f>
        <v>5238</v>
      </c>
      <c r="O98" s="82">
        <f>((10*H98/5*6.6*5.5)+(10*H98/5*0.15*5.5*2))+((24*H98*5/100*6.6*7)+(24*H98*5/100*0.15*7*2))</f>
        <v>240948</v>
      </c>
      <c r="P98" s="82">
        <v>1</v>
      </c>
      <c r="Q98" s="82">
        <v>1</v>
      </c>
      <c r="R98" s="82">
        <f t="shared" si="19"/>
        <v>2025000</v>
      </c>
      <c r="S98" s="82">
        <f t="shared" si="20"/>
        <v>2025000</v>
      </c>
      <c r="T98" s="82">
        <f t="shared" si="21"/>
        <v>0</v>
      </c>
      <c r="U98" s="82">
        <f t="shared" si="22"/>
        <v>2025000</v>
      </c>
      <c r="V98" s="42"/>
    </row>
    <row r="99" spans="1:22" s="46" customFormat="1" ht="20.25" customHeight="1">
      <c r="A99" s="91">
        <v>93</v>
      </c>
      <c r="B99" s="81" t="s">
        <v>46</v>
      </c>
      <c r="C99" s="329" t="s">
        <v>1336</v>
      </c>
      <c r="D99" s="156" t="s">
        <v>1337</v>
      </c>
      <c r="E99" s="81" t="s">
        <v>374</v>
      </c>
      <c r="F99" s="81" t="s">
        <v>1338</v>
      </c>
      <c r="G99" s="103">
        <v>30</v>
      </c>
      <c r="H99" s="104">
        <v>1200</v>
      </c>
      <c r="I99" s="82">
        <v>2</v>
      </c>
      <c r="J99" s="88" t="s">
        <v>62</v>
      </c>
      <c r="K99" s="89">
        <v>1</v>
      </c>
      <c r="L99" s="82"/>
      <c r="M99" s="82">
        <f>H99*G99*5/100</f>
        <v>1800</v>
      </c>
      <c r="N99" s="82">
        <f>M99*0.15*7</f>
        <v>1890</v>
      </c>
      <c r="O99" s="82">
        <f>M99*6.6*7+N99*2</f>
        <v>86940</v>
      </c>
      <c r="P99" s="82">
        <v>1</v>
      </c>
      <c r="Q99" s="82">
        <v>1</v>
      </c>
      <c r="R99" s="82">
        <f t="shared" si="19"/>
        <v>2025000</v>
      </c>
      <c r="S99" s="82">
        <f t="shared" si="20"/>
        <v>2025000</v>
      </c>
      <c r="T99" s="82">
        <f t="shared" si="21"/>
        <v>0</v>
      </c>
      <c r="U99" s="82">
        <f t="shared" si="22"/>
        <v>2025000</v>
      </c>
      <c r="V99" s="42"/>
    </row>
    <row r="100" spans="1:22" s="46" customFormat="1" ht="20.25" customHeight="1">
      <c r="A100" s="91">
        <v>94</v>
      </c>
      <c r="B100" s="81" t="s">
        <v>46</v>
      </c>
      <c r="C100" s="329" t="s">
        <v>1370</v>
      </c>
      <c r="D100" s="156" t="s">
        <v>1337</v>
      </c>
      <c r="E100" s="81" t="s">
        <v>374</v>
      </c>
      <c r="F100" s="81" t="s">
        <v>1338</v>
      </c>
      <c r="G100" s="103">
        <v>30</v>
      </c>
      <c r="H100" s="104">
        <v>1200</v>
      </c>
      <c r="I100" s="82">
        <v>2</v>
      </c>
      <c r="J100" s="88" t="s">
        <v>62</v>
      </c>
      <c r="K100" s="89">
        <v>1</v>
      </c>
      <c r="L100" s="82"/>
      <c r="M100" s="82">
        <f>H100*G100*5/100</f>
        <v>1800</v>
      </c>
      <c r="N100" s="82">
        <f>M100*0.15*7</f>
        <v>1890</v>
      </c>
      <c r="O100" s="82">
        <f>M100*6.6*7+N100*2</f>
        <v>86940</v>
      </c>
      <c r="P100" s="82">
        <v>1</v>
      </c>
      <c r="Q100" s="82">
        <v>1</v>
      </c>
      <c r="R100" s="82">
        <f t="shared" si="19"/>
        <v>2025000</v>
      </c>
      <c r="S100" s="82">
        <f t="shared" si="20"/>
        <v>2025000</v>
      </c>
      <c r="T100" s="82">
        <f t="shared" si="21"/>
        <v>0</v>
      </c>
      <c r="U100" s="82">
        <f t="shared" si="22"/>
        <v>2025000</v>
      </c>
      <c r="V100" s="42"/>
    </row>
    <row r="101" spans="1:22" s="46" customFormat="1" ht="20.25" customHeight="1">
      <c r="A101" s="91">
        <v>95</v>
      </c>
      <c r="B101" s="81" t="s">
        <v>17</v>
      </c>
      <c r="C101" s="329" t="s">
        <v>1357</v>
      </c>
      <c r="D101" s="156" t="s">
        <v>1358</v>
      </c>
      <c r="E101" s="81" t="s">
        <v>374</v>
      </c>
      <c r="F101" s="81" t="s">
        <v>1138</v>
      </c>
      <c r="G101" s="103">
        <v>9</v>
      </c>
      <c r="H101" s="104">
        <v>1000</v>
      </c>
      <c r="I101" s="82">
        <v>2</v>
      </c>
      <c r="J101" s="88" t="s">
        <v>40</v>
      </c>
      <c r="K101" s="89">
        <v>1</v>
      </c>
      <c r="L101" s="82"/>
      <c r="M101" s="82">
        <f t="shared" si="16"/>
        <v>1800</v>
      </c>
      <c r="N101" s="82">
        <f t="shared" si="17"/>
        <v>1485</v>
      </c>
      <c r="O101" s="82">
        <f t="shared" si="18"/>
        <v>68310</v>
      </c>
      <c r="P101" s="82">
        <v>1</v>
      </c>
      <c r="Q101" s="82">
        <v>1</v>
      </c>
      <c r="R101" s="82">
        <f t="shared" si="19"/>
        <v>2025000</v>
      </c>
      <c r="S101" s="82">
        <f t="shared" si="20"/>
        <v>2025000</v>
      </c>
      <c r="T101" s="82">
        <f t="shared" si="21"/>
        <v>0</v>
      </c>
      <c r="U101" s="82">
        <f t="shared" si="22"/>
        <v>2025000</v>
      </c>
      <c r="V101" s="42"/>
    </row>
    <row r="102" spans="1:22" s="10" customFormat="1" ht="20.25" customHeight="1">
      <c r="A102" s="91">
        <v>96</v>
      </c>
      <c r="B102" s="81" t="s">
        <v>1194</v>
      </c>
      <c r="C102" s="329" t="s">
        <v>1245</v>
      </c>
      <c r="D102" s="265" t="s">
        <v>1246</v>
      </c>
      <c r="E102" s="81" t="s">
        <v>378</v>
      </c>
      <c r="F102" s="81" t="s">
        <v>1147</v>
      </c>
      <c r="G102" s="103">
        <v>27</v>
      </c>
      <c r="H102" s="116">
        <v>900</v>
      </c>
      <c r="I102" s="82">
        <v>2</v>
      </c>
      <c r="J102" s="88" t="s">
        <v>62</v>
      </c>
      <c r="K102" s="89">
        <v>1</v>
      </c>
      <c r="L102" s="82"/>
      <c r="M102" s="82">
        <f t="shared" si="16"/>
        <v>4860</v>
      </c>
      <c r="N102" s="82">
        <f t="shared" si="17"/>
        <v>4009.5</v>
      </c>
      <c r="O102" s="82">
        <f t="shared" si="18"/>
        <v>184437</v>
      </c>
      <c r="P102" s="82">
        <v>1</v>
      </c>
      <c r="Q102" s="82">
        <v>1</v>
      </c>
      <c r="R102" s="82">
        <f t="shared" si="19"/>
        <v>2025000</v>
      </c>
      <c r="S102" s="82">
        <f>R102*Q102*P102*K102</f>
        <v>2025000</v>
      </c>
      <c r="T102" s="82">
        <f t="shared" si="21"/>
        <v>0</v>
      </c>
      <c r="U102" s="82">
        <f t="shared" si="22"/>
        <v>2025000</v>
      </c>
      <c r="V102" s="42"/>
    </row>
    <row r="103" spans="1:22" s="10" customFormat="1" ht="20.25" customHeight="1">
      <c r="A103" s="91">
        <v>97</v>
      </c>
      <c r="B103" s="81" t="s">
        <v>17</v>
      </c>
      <c r="C103" s="329" t="s">
        <v>1247</v>
      </c>
      <c r="D103" s="265" t="s">
        <v>390</v>
      </c>
      <c r="E103" s="81" t="s">
        <v>378</v>
      </c>
      <c r="F103" s="81" t="s">
        <v>1138</v>
      </c>
      <c r="G103" s="103">
        <v>27</v>
      </c>
      <c r="H103" s="116">
        <v>2000</v>
      </c>
      <c r="I103" s="82">
        <v>2</v>
      </c>
      <c r="J103" s="88" t="s">
        <v>62</v>
      </c>
      <c r="K103" s="89">
        <v>1</v>
      </c>
      <c r="L103" s="82"/>
      <c r="M103" s="82">
        <f t="shared" si="16"/>
        <v>10800</v>
      </c>
      <c r="N103" s="82">
        <f t="shared" si="17"/>
        <v>8910</v>
      </c>
      <c r="O103" s="82">
        <f t="shared" si="18"/>
        <v>409860</v>
      </c>
      <c r="P103" s="82">
        <v>1</v>
      </c>
      <c r="Q103" s="82">
        <v>1</v>
      </c>
      <c r="R103" s="82">
        <f t="shared" si="19"/>
        <v>2025000</v>
      </c>
      <c r="S103" s="82">
        <f aca="true" t="shared" si="23" ref="S103:S136">R103*Q103*P103*K103</f>
        <v>2025000</v>
      </c>
      <c r="T103" s="82">
        <f t="shared" si="21"/>
        <v>0</v>
      </c>
      <c r="U103" s="82">
        <f t="shared" si="22"/>
        <v>2025000</v>
      </c>
      <c r="V103" s="42"/>
    </row>
    <row r="104" spans="1:22" s="10" customFormat="1" ht="20.25" customHeight="1">
      <c r="A104" s="91">
        <v>98</v>
      </c>
      <c r="B104" s="81" t="s">
        <v>17</v>
      </c>
      <c r="C104" s="329" t="s">
        <v>1248</v>
      </c>
      <c r="D104" s="265" t="s">
        <v>1249</v>
      </c>
      <c r="E104" s="81" t="s">
        <v>378</v>
      </c>
      <c r="F104" s="81" t="s">
        <v>1528</v>
      </c>
      <c r="G104" s="103">
        <v>31</v>
      </c>
      <c r="H104" s="116">
        <v>1500</v>
      </c>
      <c r="I104" s="82">
        <v>1</v>
      </c>
      <c r="J104" s="88" t="s">
        <v>62</v>
      </c>
      <c r="K104" s="89">
        <v>1</v>
      </c>
      <c r="L104" s="82"/>
      <c r="M104" s="82">
        <f t="shared" si="16"/>
        <v>9300</v>
      </c>
      <c r="N104" s="82">
        <f t="shared" si="17"/>
        <v>7672.5</v>
      </c>
      <c r="O104" s="82">
        <f t="shared" si="18"/>
        <v>352935</v>
      </c>
      <c r="P104" s="82">
        <v>1</v>
      </c>
      <c r="Q104" s="82">
        <v>1</v>
      </c>
      <c r="R104" s="82">
        <f t="shared" si="19"/>
        <v>2025000</v>
      </c>
      <c r="S104" s="82">
        <f t="shared" si="23"/>
        <v>2025000</v>
      </c>
      <c r="T104" s="82">
        <f t="shared" si="21"/>
        <v>0</v>
      </c>
      <c r="U104" s="82">
        <f t="shared" si="22"/>
        <v>2025000</v>
      </c>
      <c r="V104" s="42"/>
    </row>
    <row r="105" spans="1:22" s="10" customFormat="1" ht="27.75" customHeight="1">
      <c r="A105" s="91">
        <v>99</v>
      </c>
      <c r="B105" s="81" t="s">
        <v>17</v>
      </c>
      <c r="C105" s="329" t="s">
        <v>1250</v>
      </c>
      <c r="D105" s="265" t="s">
        <v>1251</v>
      </c>
      <c r="E105" s="81" t="s">
        <v>402</v>
      </c>
      <c r="F105" s="81" t="s">
        <v>1138</v>
      </c>
      <c r="G105" s="103">
        <v>22</v>
      </c>
      <c r="H105" s="116">
        <v>900</v>
      </c>
      <c r="I105" s="82">
        <v>2</v>
      </c>
      <c r="J105" s="88" t="s">
        <v>62</v>
      </c>
      <c r="K105" s="89">
        <v>1</v>
      </c>
      <c r="L105" s="82"/>
      <c r="M105" s="82">
        <f t="shared" si="16"/>
        <v>3960</v>
      </c>
      <c r="N105" s="82">
        <f t="shared" si="17"/>
        <v>3267</v>
      </c>
      <c r="O105" s="82">
        <f t="shared" si="18"/>
        <v>150282</v>
      </c>
      <c r="P105" s="82">
        <v>1</v>
      </c>
      <c r="Q105" s="82">
        <v>1</v>
      </c>
      <c r="R105" s="82">
        <f t="shared" si="19"/>
        <v>2025000</v>
      </c>
      <c r="S105" s="82">
        <f t="shared" si="23"/>
        <v>2025000</v>
      </c>
      <c r="T105" s="82">
        <f t="shared" si="21"/>
        <v>0</v>
      </c>
      <c r="U105" s="82">
        <f t="shared" si="22"/>
        <v>2025000</v>
      </c>
      <c r="V105" s="42"/>
    </row>
    <row r="106" spans="1:22" s="10" customFormat="1" ht="20.25" customHeight="1">
      <c r="A106" s="91">
        <v>100</v>
      </c>
      <c r="B106" s="81" t="s">
        <v>17</v>
      </c>
      <c r="C106" s="329" t="s">
        <v>1252</v>
      </c>
      <c r="D106" s="265" t="s">
        <v>1253</v>
      </c>
      <c r="E106" s="81" t="s">
        <v>386</v>
      </c>
      <c r="F106" s="81" t="s">
        <v>1138</v>
      </c>
      <c r="G106" s="103">
        <v>22</v>
      </c>
      <c r="H106" s="116">
        <v>1000</v>
      </c>
      <c r="I106" s="82">
        <v>2</v>
      </c>
      <c r="J106" s="88" t="s">
        <v>62</v>
      </c>
      <c r="K106" s="89">
        <v>1</v>
      </c>
      <c r="L106" s="82"/>
      <c r="M106" s="82">
        <f t="shared" si="16"/>
        <v>4400</v>
      </c>
      <c r="N106" s="82">
        <f t="shared" si="17"/>
        <v>3630</v>
      </c>
      <c r="O106" s="82">
        <f t="shared" si="18"/>
        <v>166980</v>
      </c>
      <c r="P106" s="82">
        <v>1</v>
      </c>
      <c r="Q106" s="82">
        <v>1</v>
      </c>
      <c r="R106" s="82">
        <f t="shared" si="19"/>
        <v>2025000</v>
      </c>
      <c r="S106" s="82">
        <f t="shared" si="23"/>
        <v>2025000</v>
      </c>
      <c r="T106" s="82">
        <f t="shared" si="21"/>
        <v>0</v>
      </c>
      <c r="U106" s="82">
        <f t="shared" si="22"/>
        <v>2025000</v>
      </c>
      <c r="V106" s="42"/>
    </row>
    <row r="107" spans="1:22" s="10" customFormat="1" ht="20.25" customHeight="1">
      <c r="A107" s="91">
        <v>101</v>
      </c>
      <c r="B107" s="81" t="s">
        <v>17</v>
      </c>
      <c r="C107" s="329" t="s">
        <v>1254</v>
      </c>
      <c r="D107" s="265" t="s">
        <v>1255</v>
      </c>
      <c r="E107" s="81" t="s">
        <v>386</v>
      </c>
      <c r="F107" s="81" t="s">
        <v>1138</v>
      </c>
      <c r="G107" s="103">
        <v>12</v>
      </c>
      <c r="H107" s="116">
        <v>1300</v>
      </c>
      <c r="I107" s="82">
        <v>2</v>
      </c>
      <c r="J107" s="88" t="s">
        <v>62</v>
      </c>
      <c r="K107" s="89">
        <v>1</v>
      </c>
      <c r="L107" s="82"/>
      <c r="M107" s="82">
        <f t="shared" si="16"/>
        <v>3120</v>
      </c>
      <c r="N107" s="82">
        <f t="shared" si="17"/>
        <v>2574</v>
      </c>
      <c r="O107" s="82">
        <f t="shared" si="18"/>
        <v>118404</v>
      </c>
      <c r="P107" s="82">
        <v>1</v>
      </c>
      <c r="Q107" s="82">
        <v>1</v>
      </c>
      <c r="R107" s="82">
        <f t="shared" si="19"/>
        <v>2025000</v>
      </c>
      <c r="S107" s="82">
        <f t="shared" si="23"/>
        <v>2025000</v>
      </c>
      <c r="T107" s="82">
        <f t="shared" si="21"/>
        <v>0</v>
      </c>
      <c r="U107" s="82">
        <f t="shared" si="22"/>
        <v>2025000</v>
      </c>
      <c r="V107" s="42"/>
    </row>
    <row r="108" spans="1:22" s="10" customFormat="1" ht="20.25" customHeight="1">
      <c r="A108" s="91">
        <v>102</v>
      </c>
      <c r="B108" s="81" t="s">
        <v>17</v>
      </c>
      <c r="C108" s="329" t="s">
        <v>1256</v>
      </c>
      <c r="D108" s="265" t="s">
        <v>1257</v>
      </c>
      <c r="E108" s="81" t="s">
        <v>386</v>
      </c>
      <c r="F108" s="81" t="s">
        <v>1138</v>
      </c>
      <c r="G108" s="103">
        <v>9</v>
      </c>
      <c r="H108" s="116">
        <v>800</v>
      </c>
      <c r="I108" s="82">
        <v>1</v>
      </c>
      <c r="J108" s="88" t="s">
        <v>62</v>
      </c>
      <c r="K108" s="89">
        <v>1</v>
      </c>
      <c r="L108" s="82"/>
      <c r="M108" s="82">
        <f t="shared" si="16"/>
        <v>1440</v>
      </c>
      <c r="N108" s="82">
        <f t="shared" si="17"/>
        <v>1188</v>
      </c>
      <c r="O108" s="82">
        <f t="shared" si="18"/>
        <v>54648</v>
      </c>
      <c r="P108" s="82">
        <v>1</v>
      </c>
      <c r="Q108" s="82">
        <v>1</v>
      </c>
      <c r="R108" s="82">
        <f t="shared" si="19"/>
        <v>2025000</v>
      </c>
      <c r="S108" s="82">
        <f t="shared" si="23"/>
        <v>2025000</v>
      </c>
      <c r="T108" s="82">
        <f t="shared" si="21"/>
        <v>0</v>
      </c>
      <c r="U108" s="82">
        <f t="shared" si="22"/>
        <v>2025000</v>
      </c>
      <c r="V108" s="42"/>
    </row>
    <row r="109" spans="1:22" s="10" customFormat="1" ht="20.25" customHeight="1">
      <c r="A109" s="91">
        <v>103</v>
      </c>
      <c r="B109" s="81" t="s">
        <v>17</v>
      </c>
      <c r="C109" s="329" t="s">
        <v>1258</v>
      </c>
      <c r="D109" s="265" t="s">
        <v>1259</v>
      </c>
      <c r="E109" s="81" t="s">
        <v>386</v>
      </c>
      <c r="F109" s="81" t="s">
        <v>1138</v>
      </c>
      <c r="G109" s="103">
        <v>18</v>
      </c>
      <c r="H109" s="116">
        <v>1200</v>
      </c>
      <c r="I109" s="82">
        <v>1</v>
      </c>
      <c r="J109" s="88" t="s">
        <v>62</v>
      </c>
      <c r="K109" s="89">
        <v>1</v>
      </c>
      <c r="L109" s="82"/>
      <c r="M109" s="82">
        <f t="shared" si="16"/>
        <v>4320</v>
      </c>
      <c r="N109" s="82">
        <f t="shared" si="17"/>
        <v>3564</v>
      </c>
      <c r="O109" s="82">
        <f t="shared" si="18"/>
        <v>163944</v>
      </c>
      <c r="P109" s="82">
        <v>1</v>
      </c>
      <c r="Q109" s="82">
        <v>1</v>
      </c>
      <c r="R109" s="82">
        <f t="shared" si="19"/>
        <v>2025000</v>
      </c>
      <c r="S109" s="82">
        <f t="shared" si="23"/>
        <v>2025000</v>
      </c>
      <c r="T109" s="82">
        <f t="shared" si="21"/>
        <v>0</v>
      </c>
      <c r="U109" s="82">
        <f t="shared" si="22"/>
        <v>2025000</v>
      </c>
      <c r="V109" s="42"/>
    </row>
    <row r="110" spans="1:22" s="39" customFormat="1" ht="20.25" customHeight="1">
      <c r="A110" s="91">
        <v>104</v>
      </c>
      <c r="B110" s="81" t="s">
        <v>17</v>
      </c>
      <c r="C110" s="329" t="s">
        <v>1260</v>
      </c>
      <c r="D110" s="265" t="s">
        <v>1261</v>
      </c>
      <c r="E110" s="81" t="s">
        <v>386</v>
      </c>
      <c r="F110" s="81" t="s">
        <v>1487</v>
      </c>
      <c r="G110" s="103">
        <v>7</v>
      </c>
      <c r="H110" s="116">
        <v>800</v>
      </c>
      <c r="I110" s="82">
        <v>2</v>
      </c>
      <c r="J110" s="88" t="s">
        <v>62</v>
      </c>
      <c r="K110" s="89">
        <v>1</v>
      </c>
      <c r="L110" s="82"/>
      <c r="M110" s="82">
        <f t="shared" si="16"/>
        <v>1120</v>
      </c>
      <c r="N110" s="82">
        <f t="shared" si="17"/>
        <v>924</v>
      </c>
      <c r="O110" s="82">
        <f t="shared" si="18"/>
        <v>42504</v>
      </c>
      <c r="P110" s="82">
        <v>1</v>
      </c>
      <c r="Q110" s="82">
        <v>1</v>
      </c>
      <c r="R110" s="82">
        <f t="shared" si="19"/>
        <v>2025000</v>
      </c>
      <c r="S110" s="82">
        <f t="shared" si="23"/>
        <v>2025000</v>
      </c>
      <c r="T110" s="82">
        <f t="shared" si="21"/>
        <v>0</v>
      </c>
      <c r="U110" s="82">
        <f t="shared" si="22"/>
        <v>2025000</v>
      </c>
      <c r="V110" s="42"/>
    </row>
    <row r="111" spans="1:22" s="10" customFormat="1" ht="20.25" customHeight="1">
      <c r="A111" s="91">
        <v>105</v>
      </c>
      <c r="B111" s="81" t="s">
        <v>17</v>
      </c>
      <c r="C111" s="329" t="s">
        <v>1262</v>
      </c>
      <c r="D111" s="265" t="s">
        <v>1263</v>
      </c>
      <c r="E111" s="81" t="s">
        <v>374</v>
      </c>
      <c r="F111" s="81" t="s">
        <v>1138</v>
      </c>
      <c r="G111" s="103">
        <v>19</v>
      </c>
      <c r="H111" s="116">
        <v>2500</v>
      </c>
      <c r="I111" s="82">
        <v>3</v>
      </c>
      <c r="J111" s="88" t="s">
        <v>62</v>
      </c>
      <c r="K111" s="89">
        <v>1</v>
      </c>
      <c r="L111" s="82"/>
      <c r="M111" s="82">
        <f t="shared" si="16"/>
        <v>9500</v>
      </c>
      <c r="N111" s="82">
        <f t="shared" si="17"/>
        <v>7837.5</v>
      </c>
      <c r="O111" s="82">
        <f t="shared" si="18"/>
        <v>360525</v>
      </c>
      <c r="P111" s="82">
        <v>1</v>
      </c>
      <c r="Q111" s="82">
        <v>1</v>
      </c>
      <c r="R111" s="82">
        <f t="shared" si="19"/>
        <v>2025000</v>
      </c>
      <c r="S111" s="82">
        <f t="shared" si="23"/>
        <v>2025000</v>
      </c>
      <c r="T111" s="82">
        <f t="shared" si="21"/>
        <v>0</v>
      </c>
      <c r="U111" s="82">
        <f t="shared" si="22"/>
        <v>2025000</v>
      </c>
      <c r="V111" s="42"/>
    </row>
    <row r="112" spans="1:22" s="479" customFormat="1" ht="20.25" customHeight="1">
      <c r="A112" s="472">
        <v>106</v>
      </c>
      <c r="B112" s="473" t="s">
        <v>1264</v>
      </c>
      <c r="C112" s="474" t="s">
        <v>1265</v>
      </c>
      <c r="D112" s="474" t="s">
        <v>1266</v>
      </c>
      <c r="E112" s="473" t="s">
        <v>374</v>
      </c>
      <c r="F112" s="473" t="s">
        <v>1138</v>
      </c>
      <c r="G112" s="475">
        <v>17</v>
      </c>
      <c r="H112" s="476">
        <v>2000</v>
      </c>
      <c r="I112" s="468">
        <v>2</v>
      </c>
      <c r="J112" s="477" t="s">
        <v>62</v>
      </c>
      <c r="K112" s="478">
        <v>1</v>
      </c>
      <c r="L112" s="468"/>
      <c r="M112" s="468">
        <f t="shared" si="16"/>
        <v>6800</v>
      </c>
      <c r="N112" s="468">
        <f t="shared" si="17"/>
        <v>5610</v>
      </c>
      <c r="O112" s="468">
        <f t="shared" si="18"/>
        <v>258060</v>
      </c>
      <c r="P112" s="468">
        <v>1</v>
      </c>
      <c r="Q112" s="468">
        <v>1</v>
      </c>
      <c r="R112" s="468">
        <f t="shared" si="19"/>
        <v>2025000</v>
      </c>
      <c r="S112" s="468">
        <f t="shared" si="23"/>
        <v>2025000</v>
      </c>
      <c r="T112" s="468">
        <f t="shared" si="21"/>
        <v>0</v>
      </c>
      <c r="U112" s="468">
        <f t="shared" si="22"/>
        <v>2025000</v>
      </c>
      <c r="V112" s="457" t="s">
        <v>1577</v>
      </c>
    </row>
    <row r="113" spans="1:22" s="10" customFormat="1" ht="20.25" customHeight="1">
      <c r="A113" s="91">
        <v>107</v>
      </c>
      <c r="B113" s="81" t="s">
        <v>17</v>
      </c>
      <c r="C113" s="329" t="s">
        <v>1267</v>
      </c>
      <c r="D113" s="265" t="s">
        <v>1268</v>
      </c>
      <c r="E113" s="81" t="s">
        <v>374</v>
      </c>
      <c r="F113" s="81" t="s">
        <v>1529</v>
      </c>
      <c r="G113" s="103">
        <v>20</v>
      </c>
      <c r="H113" s="116">
        <v>1100</v>
      </c>
      <c r="I113" s="82">
        <v>1</v>
      </c>
      <c r="J113" s="88" t="s">
        <v>62</v>
      </c>
      <c r="K113" s="89">
        <v>1</v>
      </c>
      <c r="L113" s="82"/>
      <c r="M113" s="82">
        <f t="shared" si="16"/>
        <v>4400</v>
      </c>
      <c r="N113" s="82">
        <f t="shared" si="17"/>
        <v>3630</v>
      </c>
      <c r="O113" s="82">
        <f t="shared" si="18"/>
        <v>166980</v>
      </c>
      <c r="P113" s="82">
        <v>1</v>
      </c>
      <c r="Q113" s="82">
        <v>1</v>
      </c>
      <c r="R113" s="82">
        <f t="shared" si="19"/>
        <v>2025000</v>
      </c>
      <c r="S113" s="82">
        <f t="shared" si="23"/>
        <v>2025000</v>
      </c>
      <c r="T113" s="82">
        <f t="shared" si="21"/>
        <v>0</v>
      </c>
      <c r="U113" s="82">
        <f t="shared" si="22"/>
        <v>2025000</v>
      </c>
      <c r="V113" s="42"/>
    </row>
    <row r="114" spans="1:22" s="10" customFormat="1" ht="20.25" customHeight="1">
      <c r="A114" s="91">
        <v>108</v>
      </c>
      <c r="B114" s="81" t="s">
        <v>17</v>
      </c>
      <c r="C114" s="329" t="s">
        <v>1269</v>
      </c>
      <c r="D114" s="265" t="s">
        <v>1270</v>
      </c>
      <c r="E114" s="81" t="s">
        <v>374</v>
      </c>
      <c r="F114" s="81" t="s">
        <v>1138</v>
      </c>
      <c r="G114" s="103">
        <v>17</v>
      </c>
      <c r="H114" s="116">
        <v>1800</v>
      </c>
      <c r="I114" s="82">
        <v>1</v>
      </c>
      <c r="J114" s="88" t="s">
        <v>62</v>
      </c>
      <c r="K114" s="89">
        <v>1</v>
      </c>
      <c r="L114" s="82"/>
      <c r="M114" s="82">
        <f t="shared" si="16"/>
        <v>6120</v>
      </c>
      <c r="N114" s="82">
        <f t="shared" si="17"/>
        <v>5049</v>
      </c>
      <c r="O114" s="82">
        <f t="shared" si="18"/>
        <v>232254</v>
      </c>
      <c r="P114" s="82">
        <v>1</v>
      </c>
      <c r="Q114" s="82">
        <v>1</v>
      </c>
      <c r="R114" s="82">
        <f t="shared" si="19"/>
        <v>2025000</v>
      </c>
      <c r="S114" s="82">
        <f t="shared" si="23"/>
        <v>2025000</v>
      </c>
      <c r="T114" s="82">
        <f t="shared" si="21"/>
        <v>0</v>
      </c>
      <c r="U114" s="82">
        <f t="shared" si="22"/>
        <v>2025000</v>
      </c>
      <c r="V114" s="42"/>
    </row>
    <row r="115" spans="1:22" s="10" customFormat="1" ht="20.25" customHeight="1">
      <c r="A115" s="91">
        <v>109</v>
      </c>
      <c r="B115" s="81" t="s">
        <v>1264</v>
      </c>
      <c r="C115" s="329" t="s">
        <v>1271</v>
      </c>
      <c r="D115" s="265" t="s">
        <v>724</v>
      </c>
      <c r="E115" s="81" t="s">
        <v>374</v>
      </c>
      <c r="F115" s="81" t="s">
        <v>1138</v>
      </c>
      <c r="G115" s="103">
        <v>15</v>
      </c>
      <c r="H115" s="116">
        <v>800</v>
      </c>
      <c r="I115" s="82">
        <v>1</v>
      </c>
      <c r="J115" s="88" t="s">
        <v>62</v>
      </c>
      <c r="K115" s="89">
        <v>1</v>
      </c>
      <c r="L115" s="82"/>
      <c r="M115" s="82">
        <f t="shared" si="16"/>
        <v>2400</v>
      </c>
      <c r="N115" s="82">
        <f t="shared" si="17"/>
        <v>1980</v>
      </c>
      <c r="O115" s="82">
        <f t="shared" si="18"/>
        <v>91080</v>
      </c>
      <c r="P115" s="82">
        <v>1</v>
      </c>
      <c r="Q115" s="82">
        <v>1</v>
      </c>
      <c r="R115" s="82">
        <f t="shared" si="19"/>
        <v>2025000</v>
      </c>
      <c r="S115" s="82">
        <f t="shared" si="23"/>
        <v>2025000</v>
      </c>
      <c r="T115" s="82">
        <f t="shared" si="21"/>
        <v>0</v>
      </c>
      <c r="U115" s="82">
        <f t="shared" si="22"/>
        <v>2025000</v>
      </c>
      <c r="V115" s="42"/>
    </row>
    <row r="116" spans="1:22" s="10" customFormat="1" ht="20.25" customHeight="1">
      <c r="A116" s="91">
        <v>110</v>
      </c>
      <c r="B116" s="81" t="s">
        <v>17</v>
      </c>
      <c r="C116" s="329" t="s">
        <v>1272</v>
      </c>
      <c r="D116" s="265" t="s">
        <v>1273</v>
      </c>
      <c r="E116" s="81" t="s">
        <v>374</v>
      </c>
      <c r="F116" s="81" t="s">
        <v>1138</v>
      </c>
      <c r="G116" s="103">
        <v>20</v>
      </c>
      <c r="H116" s="116">
        <v>1100</v>
      </c>
      <c r="I116" s="82">
        <v>1</v>
      </c>
      <c r="J116" s="88" t="s">
        <v>62</v>
      </c>
      <c r="K116" s="89">
        <v>1</v>
      </c>
      <c r="L116" s="82"/>
      <c r="M116" s="82">
        <f t="shared" si="16"/>
        <v>4400</v>
      </c>
      <c r="N116" s="82">
        <f t="shared" si="17"/>
        <v>3630</v>
      </c>
      <c r="O116" s="82">
        <f t="shared" si="18"/>
        <v>166980</v>
      </c>
      <c r="P116" s="82">
        <v>1</v>
      </c>
      <c r="Q116" s="82">
        <v>1</v>
      </c>
      <c r="R116" s="82">
        <f t="shared" si="19"/>
        <v>2025000</v>
      </c>
      <c r="S116" s="82">
        <f t="shared" si="23"/>
        <v>2025000</v>
      </c>
      <c r="T116" s="82">
        <f t="shared" si="21"/>
        <v>0</v>
      </c>
      <c r="U116" s="82">
        <f t="shared" si="22"/>
        <v>2025000</v>
      </c>
      <c r="V116" s="42"/>
    </row>
    <row r="117" spans="1:22" s="10" customFormat="1" ht="20.25" customHeight="1">
      <c r="A117" s="91">
        <v>111</v>
      </c>
      <c r="B117" s="81" t="s">
        <v>17</v>
      </c>
      <c r="C117" s="329" t="s">
        <v>1304</v>
      </c>
      <c r="D117" s="265" t="s">
        <v>1274</v>
      </c>
      <c r="E117" s="81" t="s">
        <v>396</v>
      </c>
      <c r="F117" s="81" t="s">
        <v>1147</v>
      </c>
      <c r="G117" s="103">
        <v>72</v>
      </c>
      <c r="H117" s="116">
        <v>3000</v>
      </c>
      <c r="I117" s="82">
        <v>2</v>
      </c>
      <c r="J117" s="88" t="s">
        <v>62</v>
      </c>
      <c r="K117" s="89">
        <v>1</v>
      </c>
      <c r="L117" s="82"/>
      <c r="M117" s="82">
        <f t="shared" si="16"/>
        <v>43200</v>
      </c>
      <c r="N117" s="82">
        <f t="shared" si="17"/>
        <v>35640</v>
      </c>
      <c r="O117" s="82">
        <f t="shared" si="18"/>
        <v>1639440</v>
      </c>
      <c r="P117" s="82">
        <v>1</v>
      </c>
      <c r="Q117" s="82">
        <v>1</v>
      </c>
      <c r="R117" s="82">
        <f t="shared" si="19"/>
        <v>2025000</v>
      </c>
      <c r="S117" s="82">
        <f t="shared" si="23"/>
        <v>2025000</v>
      </c>
      <c r="T117" s="82">
        <f t="shared" si="21"/>
        <v>0</v>
      </c>
      <c r="U117" s="82">
        <f t="shared" si="22"/>
        <v>2025000</v>
      </c>
      <c r="V117" s="42"/>
    </row>
    <row r="118" spans="1:22" s="10" customFormat="1" ht="20.25" customHeight="1">
      <c r="A118" s="91">
        <v>112</v>
      </c>
      <c r="B118" s="81" t="s">
        <v>17</v>
      </c>
      <c r="C118" s="329" t="s">
        <v>1305</v>
      </c>
      <c r="D118" s="265" t="s">
        <v>1274</v>
      </c>
      <c r="E118" s="81" t="s">
        <v>396</v>
      </c>
      <c r="F118" s="81" t="s">
        <v>1147</v>
      </c>
      <c r="G118" s="103">
        <v>72</v>
      </c>
      <c r="H118" s="116">
        <v>3000</v>
      </c>
      <c r="I118" s="82">
        <v>2</v>
      </c>
      <c r="J118" s="88" t="s">
        <v>62</v>
      </c>
      <c r="K118" s="89">
        <v>1</v>
      </c>
      <c r="L118" s="82"/>
      <c r="M118" s="82">
        <f t="shared" si="16"/>
        <v>43200</v>
      </c>
      <c r="N118" s="82">
        <f t="shared" si="17"/>
        <v>35640</v>
      </c>
      <c r="O118" s="82">
        <f t="shared" si="18"/>
        <v>1639440</v>
      </c>
      <c r="P118" s="82">
        <v>1</v>
      </c>
      <c r="Q118" s="82">
        <v>1</v>
      </c>
      <c r="R118" s="82">
        <f t="shared" si="19"/>
        <v>2025000</v>
      </c>
      <c r="S118" s="82">
        <f t="shared" si="23"/>
        <v>2025000</v>
      </c>
      <c r="T118" s="82">
        <f t="shared" si="21"/>
        <v>0</v>
      </c>
      <c r="U118" s="82">
        <f t="shared" si="22"/>
        <v>2025000</v>
      </c>
      <c r="V118" s="42"/>
    </row>
    <row r="119" spans="1:22" s="10" customFormat="1" ht="24.75" customHeight="1">
      <c r="A119" s="91">
        <v>113</v>
      </c>
      <c r="B119" s="81" t="s">
        <v>17</v>
      </c>
      <c r="C119" s="329" t="s">
        <v>1306</v>
      </c>
      <c r="D119" s="265" t="s">
        <v>1274</v>
      </c>
      <c r="E119" s="81" t="s">
        <v>396</v>
      </c>
      <c r="F119" s="81" t="s">
        <v>1147</v>
      </c>
      <c r="G119" s="103">
        <v>72</v>
      </c>
      <c r="H119" s="116">
        <v>3000</v>
      </c>
      <c r="I119" s="82">
        <v>2</v>
      </c>
      <c r="J119" s="88" t="s">
        <v>62</v>
      </c>
      <c r="K119" s="89">
        <v>1</v>
      </c>
      <c r="L119" s="82"/>
      <c r="M119" s="82">
        <f t="shared" si="16"/>
        <v>43200</v>
      </c>
      <c r="N119" s="82">
        <f t="shared" si="17"/>
        <v>35640</v>
      </c>
      <c r="O119" s="82">
        <f t="shared" si="18"/>
        <v>1639440</v>
      </c>
      <c r="P119" s="82">
        <v>1</v>
      </c>
      <c r="Q119" s="82">
        <v>1</v>
      </c>
      <c r="R119" s="82">
        <f t="shared" si="19"/>
        <v>2025000</v>
      </c>
      <c r="S119" s="82">
        <f t="shared" si="23"/>
        <v>2025000</v>
      </c>
      <c r="T119" s="82">
        <f t="shared" si="21"/>
        <v>0</v>
      </c>
      <c r="U119" s="82">
        <f t="shared" si="22"/>
        <v>2025000</v>
      </c>
      <c r="V119" s="42"/>
    </row>
    <row r="120" spans="1:22" s="10" customFormat="1" ht="28.5" customHeight="1">
      <c r="A120" s="91">
        <v>114</v>
      </c>
      <c r="B120" s="81" t="s">
        <v>1229</v>
      </c>
      <c r="C120" s="329" t="s">
        <v>1275</v>
      </c>
      <c r="D120" s="265" t="s">
        <v>1274</v>
      </c>
      <c r="E120" s="81" t="s">
        <v>396</v>
      </c>
      <c r="F120" s="81" t="s">
        <v>1147</v>
      </c>
      <c r="G120" s="103">
        <v>72</v>
      </c>
      <c r="H120" s="116">
        <v>3000</v>
      </c>
      <c r="I120" s="82">
        <v>1</v>
      </c>
      <c r="J120" s="88" t="s">
        <v>77</v>
      </c>
      <c r="K120" s="89">
        <v>1</v>
      </c>
      <c r="L120" s="82"/>
      <c r="M120" s="82">
        <f>(H120*10/5)+(H120*24*5/100)</f>
        <v>9600</v>
      </c>
      <c r="N120" s="82">
        <f>(H120*10/5*0.15*5.5)+(H120*24*5/100*0.15*7)</f>
        <v>8730</v>
      </c>
      <c r="O120" s="82">
        <f>((10*H120/5*6.6*5.5)+(10*H120/5*0.15*5.5*2))+((24*H120*5/100*6.6*7)+(24*H120*5/100*0.15*7*2))</f>
        <v>401580</v>
      </c>
      <c r="P120" s="82">
        <v>1</v>
      </c>
      <c r="Q120" s="82">
        <v>1</v>
      </c>
      <c r="R120" s="82">
        <f t="shared" si="19"/>
        <v>2025000</v>
      </c>
      <c r="S120" s="82">
        <f t="shared" si="23"/>
        <v>2025000</v>
      </c>
      <c r="T120" s="82">
        <f t="shared" si="21"/>
        <v>0</v>
      </c>
      <c r="U120" s="82">
        <f t="shared" si="22"/>
        <v>2025000</v>
      </c>
      <c r="V120" s="42"/>
    </row>
    <row r="121" spans="1:22" s="10" customFormat="1" ht="24" customHeight="1">
      <c r="A121" s="91">
        <v>115</v>
      </c>
      <c r="B121" s="81" t="s">
        <v>1229</v>
      </c>
      <c r="C121" s="329" t="s">
        <v>1276</v>
      </c>
      <c r="D121" s="265" t="s">
        <v>1274</v>
      </c>
      <c r="E121" s="81" t="s">
        <v>396</v>
      </c>
      <c r="F121" s="81" t="s">
        <v>1147</v>
      </c>
      <c r="G121" s="103">
        <v>5</v>
      </c>
      <c r="H121" s="116">
        <v>7000</v>
      </c>
      <c r="I121" s="82">
        <v>2</v>
      </c>
      <c r="J121" s="88" t="s">
        <v>62</v>
      </c>
      <c r="K121" s="89">
        <v>1</v>
      </c>
      <c r="L121" s="82"/>
      <c r="M121" s="82">
        <f>(H121*10/5)+(H121*24*5/100)</f>
        <v>22400</v>
      </c>
      <c r="N121" s="82">
        <f>(H121*10/5*0.15*5.5)+(H121*24*5/100*0.15*7)</f>
        <v>20370</v>
      </c>
      <c r="O121" s="82">
        <f>((10*H121/5*6.6*5.5)+(10*H121/5*0.15*5.5*2))+((24*H121*5/100*6.6*7)+(24*H121*5/100*0.15*7*2))</f>
        <v>937020</v>
      </c>
      <c r="P121" s="82">
        <v>1</v>
      </c>
      <c r="Q121" s="82">
        <v>1</v>
      </c>
      <c r="R121" s="82">
        <f t="shared" si="19"/>
        <v>2025000</v>
      </c>
      <c r="S121" s="82">
        <f t="shared" si="23"/>
        <v>2025000</v>
      </c>
      <c r="T121" s="82">
        <f t="shared" si="21"/>
        <v>0</v>
      </c>
      <c r="U121" s="82">
        <f t="shared" si="22"/>
        <v>2025000</v>
      </c>
      <c r="V121" s="42"/>
    </row>
    <row r="122" spans="1:22" s="10" customFormat="1" ht="20.25" customHeight="1">
      <c r="A122" s="91">
        <v>116</v>
      </c>
      <c r="B122" s="81" t="s">
        <v>17</v>
      </c>
      <c r="C122" s="329" t="s">
        <v>1277</v>
      </c>
      <c r="D122" s="265" t="s">
        <v>1308</v>
      </c>
      <c r="E122" s="81" t="s">
        <v>396</v>
      </c>
      <c r="F122" s="81" t="s">
        <v>1147</v>
      </c>
      <c r="G122" s="103">
        <v>22</v>
      </c>
      <c r="H122" s="116">
        <v>700</v>
      </c>
      <c r="I122" s="82">
        <v>2</v>
      </c>
      <c r="J122" s="88" t="s">
        <v>62</v>
      </c>
      <c r="K122" s="89">
        <v>1</v>
      </c>
      <c r="L122" s="82"/>
      <c r="M122" s="82">
        <f t="shared" si="16"/>
        <v>3080</v>
      </c>
      <c r="N122" s="82">
        <f t="shared" si="17"/>
        <v>2541</v>
      </c>
      <c r="O122" s="82">
        <f t="shared" si="18"/>
        <v>116886</v>
      </c>
      <c r="P122" s="82">
        <v>1</v>
      </c>
      <c r="Q122" s="82">
        <v>1</v>
      </c>
      <c r="R122" s="82">
        <f t="shared" si="19"/>
        <v>2025000</v>
      </c>
      <c r="S122" s="82">
        <f t="shared" si="23"/>
        <v>2025000</v>
      </c>
      <c r="T122" s="82">
        <f t="shared" si="21"/>
        <v>0</v>
      </c>
      <c r="U122" s="82">
        <f t="shared" si="22"/>
        <v>2025000</v>
      </c>
      <c r="V122" s="42"/>
    </row>
    <row r="123" spans="1:22" s="10" customFormat="1" ht="20.25" customHeight="1">
      <c r="A123" s="91">
        <v>117</v>
      </c>
      <c r="B123" s="81" t="s">
        <v>17</v>
      </c>
      <c r="C123" s="329" t="s">
        <v>1278</v>
      </c>
      <c r="D123" s="265" t="s">
        <v>1279</v>
      </c>
      <c r="E123" s="81" t="s">
        <v>396</v>
      </c>
      <c r="F123" s="81" t="s">
        <v>1147</v>
      </c>
      <c r="G123" s="103">
        <v>28</v>
      </c>
      <c r="H123" s="116">
        <v>3200</v>
      </c>
      <c r="I123" s="82">
        <v>2</v>
      </c>
      <c r="J123" s="88" t="s">
        <v>62</v>
      </c>
      <c r="K123" s="89">
        <v>1</v>
      </c>
      <c r="L123" s="82"/>
      <c r="M123" s="82">
        <f t="shared" si="16"/>
        <v>17920</v>
      </c>
      <c r="N123" s="82">
        <f t="shared" si="17"/>
        <v>14784</v>
      </c>
      <c r="O123" s="82">
        <f t="shared" si="18"/>
        <v>680064</v>
      </c>
      <c r="P123" s="82">
        <v>1</v>
      </c>
      <c r="Q123" s="82">
        <v>1</v>
      </c>
      <c r="R123" s="82">
        <f t="shared" si="19"/>
        <v>2025000</v>
      </c>
      <c r="S123" s="82">
        <f t="shared" si="23"/>
        <v>2025000</v>
      </c>
      <c r="T123" s="82">
        <f t="shared" si="21"/>
        <v>0</v>
      </c>
      <c r="U123" s="82">
        <f t="shared" si="22"/>
        <v>2025000</v>
      </c>
      <c r="V123" s="42"/>
    </row>
    <row r="124" spans="1:22" s="10" customFormat="1" ht="20.25" customHeight="1">
      <c r="A124" s="91">
        <v>118</v>
      </c>
      <c r="B124" s="81" t="s">
        <v>17</v>
      </c>
      <c r="C124" s="329" t="s">
        <v>1280</v>
      </c>
      <c r="D124" s="265" t="s">
        <v>1279</v>
      </c>
      <c r="E124" s="81" t="s">
        <v>396</v>
      </c>
      <c r="F124" s="81" t="s">
        <v>1147</v>
      </c>
      <c r="G124" s="103">
        <v>28</v>
      </c>
      <c r="H124" s="116">
        <v>3200</v>
      </c>
      <c r="I124" s="82">
        <v>2</v>
      </c>
      <c r="J124" s="88" t="s">
        <v>62</v>
      </c>
      <c r="K124" s="89">
        <v>1</v>
      </c>
      <c r="L124" s="82"/>
      <c r="M124" s="82">
        <f t="shared" si="16"/>
        <v>17920</v>
      </c>
      <c r="N124" s="82">
        <f t="shared" si="17"/>
        <v>14784</v>
      </c>
      <c r="O124" s="82">
        <f t="shared" si="18"/>
        <v>680064</v>
      </c>
      <c r="P124" s="82">
        <v>1</v>
      </c>
      <c r="Q124" s="82">
        <v>1</v>
      </c>
      <c r="R124" s="82">
        <f t="shared" si="19"/>
        <v>2025000</v>
      </c>
      <c r="S124" s="82">
        <f t="shared" si="23"/>
        <v>2025000</v>
      </c>
      <c r="T124" s="82">
        <f t="shared" si="21"/>
        <v>0</v>
      </c>
      <c r="U124" s="82">
        <f t="shared" si="22"/>
        <v>2025000</v>
      </c>
      <c r="V124" s="42"/>
    </row>
    <row r="125" spans="1:22" s="10" customFormat="1" ht="20.25" customHeight="1">
      <c r="A125" s="91">
        <v>119</v>
      </c>
      <c r="B125" s="81" t="s">
        <v>17</v>
      </c>
      <c r="C125" s="329" t="s">
        <v>1281</v>
      </c>
      <c r="D125" s="265" t="s">
        <v>1279</v>
      </c>
      <c r="E125" s="81" t="s">
        <v>396</v>
      </c>
      <c r="F125" s="81" t="s">
        <v>1147</v>
      </c>
      <c r="G125" s="103">
        <v>6</v>
      </c>
      <c r="H125" s="116">
        <v>3200</v>
      </c>
      <c r="I125" s="82">
        <v>2</v>
      </c>
      <c r="J125" s="88" t="s">
        <v>62</v>
      </c>
      <c r="K125" s="89">
        <v>1</v>
      </c>
      <c r="L125" s="82"/>
      <c r="M125" s="82">
        <f t="shared" si="16"/>
        <v>3840</v>
      </c>
      <c r="N125" s="82">
        <f t="shared" si="17"/>
        <v>3168</v>
      </c>
      <c r="O125" s="82">
        <f t="shared" si="18"/>
        <v>145728</v>
      </c>
      <c r="P125" s="82">
        <v>1</v>
      </c>
      <c r="Q125" s="82">
        <v>1</v>
      </c>
      <c r="R125" s="82">
        <f t="shared" si="19"/>
        <v>2025000</v>
      </c>
      <c r="S125" s="82">
        <f t="shared" si="23"/>
        <v>2025000</v>
      </c>
      <c r="T125" s="82">
        <f t="shared" si="21"/>
        <v>0</v>
      </c>
      <c r="U125" s="82">
        <f t="shared" si="22"/>
        <v>2025000</v>
      </c>
      <c r="V125" s="42"/>
    </row>
    <row r="126" spans="1:22" s="10" customFormat="1" ht="20.25" customHeight="1">
      <c r="A126" s="91">
        <v>120</v>
      </c>
      <c r="B126" s="81" t="s">
        <v>17</v>
      </c>
      <c r="C126" s="329" t="s">
        <v>1282</v>
      </c>
      <c r="D126" s="265" t="s">
        <v>1307</v>
      </c>
      <c r="E126" s="81" t="s">
        <v>396</v>
      </c>
      <c r="F126" s="81" t="s">
        <v>1413</v>
      </c>
      <c r="G126" s="103">
        <v>18</v>
      </c>
      <c r="H126" s="116">
        <v>1200</v>
      </c>
      <c r="I126" s="82">
        <v>1</v>
      </c>
      <c r="J126" s="88" t="s">
        <v>62</v>
      </c>
      <c r="K126" s="89">
        <v>1</v>
      </c>
      <c r="L126" s="82"/>
      <c r="M126" s="82">
        <f t="shared" si="16"/>
        <v>4320</v>
      </c>
      <c r="N126" s="82">
        <f t="shared" si="17"/>
        <v>3564</v>
      </c>
      <c r="O126" s="82">
        <f t="shared" si="18"/>
        <v>163944</v>
      </c>
      <c r="P126" s="82">
        <v>1</v>
      </c>
      <c r="Q126" s="82">
        <v>1</v>
      </c>
      <c r="R126" s="82">
        <f t="shared" si="19"/>
        <v>2025000</v>
      </c>
      <c r="S126" s="82">
        <f t="shared" si="23"/>
        <v>2025000</v>
      </c>
      <c r="T126" s="82">
        <f t="shared" si="21"/>
        <v>0</v>
      </c>
      <c r="U126" s="82">
        <f t="shared" si="22"/>
        <v>2025000</v>
      </c>
      <c r="V126" s="42"/>
    </row>
    <row r="127" spans="1:22" s="10" customFormat="1" ht="20.25" customHeight="1">
      <c r="A127" s="91">
        <v>121</v>
      </c>
      <c r="B127" s="81" t="s">
        <v>17</v>
      </c>
      <c r="C127" s="329" t="s">
        <v>1283</v>
      </c>
      <c r="D127" s="265" t="s">
        <v>1284</v>
      </c>
      <c r="E127" s="81" t="s">
        <v>396</v>
      </c>
      <c r="F127" s="81" t="s">
        <v>1530</v>
      </c>
      <c r="G127" s="103">
        <v>18</v>
      </c>
      <c r="H127" s="116">
        <v>800</v>
      </c>
      <c r="I127" s="82">
        <v>2</v>
      </c>
      <c r="J127" s="88" t="s">
        <v>62</v>
      </c>
      <c r="K127" s="89">
        <v>1</v>
      </c>
      <c r="L127" s="82"/>
      <c r="M127" s="82">
        <f t="shared" si="16"/>
        <v>2880</v>
      </c>
      <c r="N127" s="82">
        <f t="shared" si="17"/>
        <v>2376</v>
      </c>
      <c r="O127" s="82">
        <f t="shared" si="18"/>
        <v>109296</v>
      </c>
      <c r="P127" s="82">
        <v>1</v>
      </c>
      <c r="Q127" s="82">
        <v>1</v>
      </c>
      <c r="R127" s="82">
        <f t="shared" si="19"/>
        <v>2025000</v>
      </c>
      <c r="S127" s="82">
        <f t="shared" si="23"/>
        <v>2025000</v>
      </c>
      <c r="T127" s="82">
        <f t="shared" si="21"/>
        <v>0</v>
      </c>
      <c r="U127" s="82">
        <f t="shared" si="22"/>
        <v>2025000</v>
      </c>
      <c r="V127" s="42"/>
    </row>
    <row r="128" spans="1:23" s="10" customFormat="1" ht="20.25" customHeight="1">
      <c r="A128" s="91">
        <v>122</v>
      </c>
      <c r="B128" s="81" t="s">
        <v>1229</v>
      </c>
      <c r="C128" s="329" t="s">
        <v>1285</v>
      </c>
      <c r="D128" s="265" t="s">
        <v>1287</v>
      </c>
      <c r="E128" s="81" t="s">
        <v>374</v>
      </c>
      <c r="F128" s="81" t="s">
        <v>1147</v>
      </c>
      <c r="G128" s="103">
        <v>30</v>
      </c>
      <c r="H128" s="116">
        <v>2000</v>
      </c>
      <c r="I128" s="82">
        <v>2</v>
      </c>
      <c r="J128" s="88" t="s">
        <v>62</v>
      </c>
      <c r="K128" s="89">
        <v>1</v>
      </c>
      <c r="L128" s="82"/>
      <c r="M128" s="82">
        <f t="shared" si="16"/>
        <v>12000</v>
      </c>
      <c r="N128" s="82">
        <f t="shared" si="17"/>
        <v>9900</v>
      </c>
      <c r="O128" s="82">
        <f t="shared" si="18"/>
        <v>455400</v>
      </c>
      <c r="P128" s="82">
        <v>1</v>
      </c>
      <c r="Q128" s="82">
        <v>1</v>
      </c>
      <c r="R128" s="82">
        <f t="shared" si="19"/>
        <v>2025000</v>
      </c>
      <c r="S128" s="82">
        <f t="shared" si="23"/>
        <v>2025000</v>
      </c>
      <c r="T128" s="82">
        <f t="shared" si="21"/>
        <v>0</v>
      </c>
      <c r="U128" s="82">
        <f t="shared" si="22"/>
        <v>2025000</v>
      </c>
      <c r="V128" s="42"/>
      <c r="W128" s="55"/>
    </row>
    <row r="129" spans="1:22" s="10" customFormat="1" ht="20.25" customHeight="1">
      <c r="A129" s="91">
        <v>123</v>
      </c>
      <c r="B129" s="81" t="s">
        <v>1229</v>
      </c>
      <c r="C129" s="329" t="s">
        <v>1286</v>
      </c>
      <c r="D129" s="265" t="s">
        <v>1288</v>
      </c>
      <c r="E129" s="81" t="s">
        <v>374</v>
      </c>
      <c r="F129" s="81" t="s">
        <v>1147</v>
      </c>
      <c r="G129" s="103">
        <v>30</v>
      </c>
      <c r="H129" s="116">
        <v>2000</v>
      </c>
      <c r="I129" s="82">
        <v>2</v>
      </c>
      <c r="J129" s="88" t="s">
        <v>62</v>
      </c>
      <c r="K129" s="89">
        <v>1</v>
      </c>
      <c r="L129" s="82"/>
      <c r="M129" s="82">
        <f t="shared" si="16"/>
        <v>12000</v>
      </c>
      <c r="N129" s="82">
        <f t="shared" si="17"/>
        <v>9900</v>
      </c>
      <c r="O129" s="82">
        <f t="shared" si="18"/>
        <v>455400</v>
      </c>
      <c r="P129" s="82">
        <v>1</v>
      </c>
      <c r="Q129" s="82">
        <v>1</v>
      </c>
      <c r="R129" s="82">
        <f t="shared" si="19"/>
        <v>2025000</v>
      </c>
      <c r="S129" s="82">
        <f t="shared" si="23"/>
        <v>2025000</v>
      </c>
      <c r="T129" s="82">
        <f t="shared" si="21"/>
        <v>0</v>
      </c>
      <c r="U129" s="82">
        <f t="shared" si="22"/>
        <v>2025000</v>
      </c>
      <c r="V129" s="42"/>
    </row>
    <row r="130" spans="1:21" s="42" customFormat="1" ht="26.25" customHeight="1">
      <c r="A130" s="91">
        <v>124</v>
      </c>
      <c r="B130" s="81" t="s">
        <v>46</v>
      </c>
      <c r="C130" s="329" t="s">
        <v>1396</v>
      </c>
      <c r="D130" s="155" t="s">
        <v>1397</v>
      </c>
      <c r="E130" s="102" t="s">
        <v>1376</v>
      </c>
      <c r="F130" s="80" t="s">
        <v>1523</v>
      </c>
      <c r="G130" s="103">
        <v>30</v>
      </c>
      <c r="H130" s="104">
        <v>1000</v>
      </c>
      <c r="I130" s="82">
        <v>3</v>
      </c>
      <c r="J130" s="88" t="s">
        <v>40</v>
      </c>
      <c r="K130" s="89">
        <v>1</v>
      </c>
      <c r="L130" s="82"/>
      <c r="M130" s="82">
        <f t="shared" si="16"/>
        <v>6000</v>
      </c>
      <c r="N130" s="82">
        <f t="shared" si="17"/>
        <v>4950</v>
      </c>
      <c r="O130" s="82">
        <f t="shared" si="18"/>
        <v>227700</v>
      </c>
      <c r="P130" s="82">
        <v>1</v>
      </c>
      <c r="Q130" s="82">
        <v>1</v>
      </c>
      <c r="R130" s="82">
        <f t="shared" si="19"/>
        <v>2025000</v>
      </c>
      <c r="S130" s="82">
        <f t="shared" si="23"/>
        <v>2025000</v>
      </c>
      <c r="T130" s="82">
        <f t="shared" si="21"/>
        <v>0</v>
      </c>
      <c r="U130" s="82">
        <f t="shared" si="22"/>
        <v>2025000</v>
      </c>
    </row>
    <row r="131" spans="1:21" s="42" customFormat="1" ht="28.5" customHeight="1">
      <c r="A131" s="91">
        <v>125</v>
      </c>
      <c r="B131" s="81" t="s">
        <v>46</v>
      </c>
      <c r="C131" s="329" t="s">
        <v>1398</v>
      </c>
      <c r="D131" s="155" t="s">
        <v>1397</v>
      </c>
      <c r="E131" s="102" t="s">
        <v>1376</v>
      </c>
      <c r="F131" s="80" t="s">
        <v>1523</v>
      </c>
      <c r="G131" s="103">
        <v>30</v>
      </c>
      <c r="H131" s="104">
        <v>1000</v>
      </c>
      <c r="I131" s="82">
        <v>4</v>
      </c>
      <c r="J131" s="88" t="s">
        <v>40</v>
      </c>
      <c r="K131" s="89">
        <v>1</v>
      </c>
      <c r="L131" s="82"/>
      <c r="M131" s="82">
        <f>H131*G131*5/100</f>
        <v>1500</v>
      </c>
      <c r="N131" s="82">
        <f>M131*0.15*7</f>
        <v>1575</v>
      </c>
      <c r="O131" s="82">
        <f>M131*6.6*7+N131*2</f>
        <v>72450</v>
      </c>
      <c r="P131" s="82">
        <v>1</v>
      </c>
      <c r="Q131" s="82">
        <v>1</v>
      </c>
      <c r="R131" s="82">
        <f t="shared" si="19"/>
        <v>2025000</v>
      </c>
      <c r="S131" s="82">
        <f t="shared" si="23"/>
        <v>2025000</v>
      </c>
      <c r="T131" s="82">
        <f t="shared" si="21"/>
        <v>0</v>
      </c>
      <c r="U131" s="82">
        <f t="shared" si="22"/>
        <v>2025000</v>
      </c>
    </row>
    <row r="132" spans="1:21" s="42" customFormat="1" ht="25.5" customHeight="1">
      <c r="A132" s="91">
        <v>126</v>
      </c>
      <c r="B132" s="81" t="s">
        <v>46</v>
      </c>
      <c r="C132" s="329" t="s">
        <v>1399</v>
      </c>
      <c r="D132" s="155" t="s">
        <v>1397</v>
      </c>
      <c r="E132" s="102" t="s">
        <v>1376</v>
      </c>
      <c r="F132" s="80" t="s">
        <v>1523</v>
      </c>
      <c r="G132" s="103">
        <v>30</v>
      </c>
      <c r="H132" s="104">
        <v>1000</v>
      </c>
      <c r="I132" s="82">
        <v>5</v>
      </c>
      <c r="J132" s="88" t="s">
        <v>62</v>
      </c>
      <c r="K132" s="89">
        <v>1</v>
      </c>
      <c r="L132" s="82"/>
      <c r="M132" s="82">
        <f>H132*G132*5/100</f>
        <v>1500</v>
      </c>
      <c r="N132" s="82">
        <f>M132*0.15*7</f>
        <v>1575</v>
      </c>
      <c r="O132" s="82">
        <f>M132*6.6*7+N132*2</f>
        <v>72450</v>
      </c>
      <c r="P132" s="82">
        <v>1</v>
      </c>
      <c r="Q132" s="82">
        <v>1</v>
      </c>
      <c r="R132" s="82">
        <f t="shared" si="19"/>
        <v>2025000</v>
      </c>
      <c r="S132" s="82">
        <f t="shared" si="23"/>
        <v>2025000</v>
      </c>
      <c r="T132" s="82">
        <f t="shared" si="21"/>
        <v>0</v>
      </c>
      <c r="U132" s="82">
        <f t="shared" si="22"/>
        <v>2025000</v>
      </c>
    </row>
    <row r="133" spans="1:21" s="42" customFormat="1" ht="20.25" customHeight="1">
      <c r="A133" s="91">
        <v>127</v>
      </c>
      <c r="B133" s="81" t="s">
        <v>34</v>
      </c>
      <c r="C133" s="329" t="s">
        <v>1410</v>
      </c>
      <c r="D133" s="155" t="s">
        <v>1411</v>
      </c>
      <c r="E133" s="102" t="s">
        <v>686</v>
      </c>
      <c r="F133" s="80" t="s">
        <v>1523</v>
      </c>
      <c r="G133" s="103">
        <v>6</v>
      </c>
      <c r="H133" s="104">
        <v>5000</v>
      </c>
      <c r="I133" s="82">
        <v>6</v>
      </c>
      <c r="J133" s="88" t="s">
        <v>21</v>
      </c>
      <c r="K133" s="89">
        <v>1</v>
      </c>
      <c r="L133" s="82"/>
      <c r="M133" s="82">
        <f t="shared" si="16"/>
        <v>6000</v>
      </c>
      <c r="N133" s="82">
        <f t="shared" si="17"/>
        <v>4950</v>
      </c>
      <c r="O133" s="82">
        <f t="shared" si="18"/>
        <v>227700</v>
      </c>
      <c r="P133" s="82">
        <v>1</v>
      </c>
      <c r="Q133" s="82">
        <v>1</v>
      </c>
      <c r="R133" s="82">
        <f t="shared" si="19"/>
        <v>2025000</v>
      </c>
      <c r="S133" s="82">
        <f t="shared" si="23"/>
        <v>2025000</v>
      </c>
      <c r="T133" s="82">
        <f t="shared" si="21"/>
        <v>0</v>
      </c>
      <c r="U133" s="82">
        <f t="shared" si="22"/>
        <v>2025000</v>
      </c>
    </row>
    <row r="134" spans="1:21" s="42" customFormat="1" ht="25.5" customHeight="1">
      <c r="A134" s="91">
        <v>128</v>
      </c>
      <c r="B134" s="81" t="s">
        <v>17</v>
      </c>
      <c r="C134" s="329" t="s">
        <v>1493</v>
      </c>
      <c r="D134" s="155" t="s">
        <v>1492</v>
      </c>
      <c r="E134" s="102" t="s">
        <v>384</v>
      </c>
      <c r="F134" s="80" t="s">
        <v>1522</v>
      </c>
      <c r="G134" s="103">
        <v>25</v>
      </c>
      <c r="H134" s="104">
        <v>1200</v>
      </c>
      <c r="I134" s="82">
        <v>1</v>
      </c>
      <c r="J134" s="88" t="s">
        <v>62</v>
      </c>
      <c r="K134" s="89">
        <v>1</v>
      </c>
      <c r="L134" s="82"/>
      <c r="M134" s="82">
        <f t="shared" si="16"/>
        <v>6000</v>
      </c>
      <c r="N134" s="82">
        <f t="shared" si="17"/>
        <v>4950</v>
      </c>
      <c r="O134" s="82">
        <f t="shared" si="18"/>
        <v>227700</v>
      </c>
      <c r="P134" s="82">
        <v>1</v>
      </c>
      <c r="Q134" s="82">
        <v>2</v>
      </c>
      <c r="R134" s="82">
        <f t="shared" si="19"/>
        <v>2025000</v>
      </c>
      <c r="S134" s="82">
        <f t="shared" si="23"/>
        <v>4050000</v>
      </c>
      <c r="T134" s="82">
        <f t="shared" si="21"/>
        <v>0</v>
      </c>
      <c r="U134" s="82">
        <f t="shared" si="22"/>
        <v>4050000</v>
      </c>
    </row>
    <row r="135" spans="1:21" s="42" customFormat="1" ht="24.75" customHeight="1">
      <c r="A135" s="91">
        <v>129</v>
      </c>
      <c r="B135" s="81" t="s">
        <v>17</v>
      </c>
      <c r="C135" s="329" t="s">
        <v>1508</v>
      </c>
      <c r="D135" s="155" t="s">
        <v>1509</v>
      </c>
      <c r="E135" s="102" t="s">
        <v>374</v>
      </c>
      <c r="F135" s="80" t="s">
        <v>1510</v>
      </c>
      <c r="G135" s="103">
        <v>16</v>
      </c>
      <c r="H135" s="104">
        <f>2000/2</f>
        <v>1000</v>
      </c>
      <c r="I135" s="82">
        <v>2</v>
      </c>
      <c r="J135" s="88" t="s">
        <v>62</v>
      </c>
      <c r="K135" s="89">
        <v>1</v>
      </c>
      <c r="L135" s="82"/>
      <c r="M135" s="82">
        <f t="shared" si="16"/>
        <v>3200</v>
      </c>
      <c r="N135" s="82">
        <f t="shared" si="17"/>
        <v>2640</v>
      </c>
      <c r="O135" s="82">
        <f t="shared" si="18"/>
        <v>121440</v>
      </c>
      <c r="P135" s="82">
        <v>1</v>
      </c>
      <c r="Q135" s="82">
        <v>1</v>
      </c>
      <c r="R135" s="82">
        <f t="shared" si="19"/>
        <v>2025000</v>
      </c>
      <c r="S135" s="82">
        <f t="shared" si="23"/>
        <v>2025000</v>
      </c>
      <c r="T135" s="82">
        <f t="shared" si="21"/>
        <v>0</v>
      </c>
      <c r="U135" s="82">
        <f t="shared" si="22"/>
        <v>2025000</v>
      </c>
    </row>
    <row r="136" spans="1:21" s="42" customFormat="1" ht="24" customHeight="1">
      <c r="A136" s="91">
        <v>130</v>
      </c>
      <c r="B136" s="81" t="s">
        <v>17</v>
      </c>
      <c r="C136" s="329" t="s">
        <v>1511</v>
      </c>
      <c r="D136" s="155" t="s">
        <v>1509</v>
      </c>
      <c r="E136" s="102" t="s">
        <v>374</v>
      </c>
      <c r="F136" s="80" t="s">
        <v>1510</v>
      </c>
      <c r="G136" s="103">
        <v>16</v>
      </c>
      <c r="H136" s="104">
        <f>2000/2</f>
        <v>1000</v>
      </c>
      <c r="I136" s="82">
        <v>2</v>
      </c>
      <c r="J136" s="88" t="s">
        <v>77</v>
      </c>
      <c r="K136" s="89">
        <v>1</v>
      </c>
      <c r="L136" s="82"/>
      <c r="M136" s="82">
        <f t="shared" si="16"/>
        <v>3200</v>
      </c>
      <c r="N136" s="82">
        <f t="shared" si="17"/>
        <v>2640</v>
      </c>
      <c r="O136" s="82">
        <f t="shared" si="18"/>
        <v>121440</v>
      </c>
      <c r="P136" s="82">
        <v>1</v>
      </c>
      <c r="Q136" s="82">
        <v>1</v>
      </c>
      <c r="R136" s="82">
        <f t="shared" si="19"/>
        <v>2025000</v>
      </c>
      <c r="S136" s="82">
        <f t="shared" si="23"/>
        <v>2025000</v>
      </c>
      <c r="T136" s="82">
        <f t="shared" si="21"/>
        <v>0</v>
      </c>
      <c r="U136" s="82">
        <f t="shared" si="22"/>
        <v>2025000</v>
      </c>
    </row>
    <row r="137" spans="1:21" s="42" customFormat="1" ht="20.25" customHeight="1">
      <c r="A137" s="91">
        <v>131</v>
      </c>
      <c r="B137" s="81" t="s">
        <v>17</v>
      </c>
      <c r="C137" s="329" t="s">
        <v>1533</v>
      </c>
      <c r="D137" s="155" t="s">
        <v>1534</v>
      </c>
      <c r="E137" s="102" t="s">
        <v>374</v>
      </c>
      <c r="F137" s="93" t="s">
        <v>1535</v>
      </c>
      <c r="G137" s="390">
        <v>20</v>
      </c>
      <c r="H137" s="391">
        <v>2500</v>
      </c>
      <c r="I137" s="82">
        <v>6</v>
      </c>
      <c r="J137" s="88" t="s">
        <v>62</v>
      </c>
      <c r="K137" s="89">
        <v>1</v>
      </c>
      <c r="L137" s="82"/>
      <c r="M137" s="82">
        <f>H137*G137/5</f>
        <v>10000</v>
      </c>
      <c r="N137" s="82">
        <f>M137*0.15*5.5</f>
        <v>8250</v>
      </c>
      <c r="O137" s="82">
        <f>M137*6.6*5.5+N137*2</f>
        <v>379500</v>
      </c>
      <c r="P137" s="82">
        <v>1</v>
      </c>
      <c r="Q137" s="82">
        <v>1</v>
      </c>
      <c r="R137" s="82">
        <f t="shared" si="19"/>
        <v>2025000</v>
      </c>
      <c r="S137" s="82">
        <f aca="true" t="shared" si="24" ref="S137:S145">R137*Q137*P137*K137</f>
        <v>2025000</v>
      </c>
      <c r="T137" s="82">
        <f aca="true" t="shared" si="25" ref="T137:T145">L137*P137*Q137*R137</f>
        <v>0</v>
      </c>
      <c r="U137" s="82">
        <f aca="true" t="shared" si="26" ref="U137:U145">R137*P137*Q137</f>
        <v>2025000</v>
      </c>
    </row>
    <row r="138" spans="1:21" s="42" customFormat="1" ht="28.5" customHeight="1">
      <c r="A138" s="91">
        <v>132</v>
      </c>
      <c r="B138" s="81" t="s">
        <v>46</v>
      </c>
      <c r="C138" s="329" t="s">
        <v>1573</v>
      </c>
      <c r="D138" s="155" t="s">
        <v>1574</v>
      </c>
      <c r="E138" s="102" t="s">
        <v>384</v>
      </c>
      <c r="F138" s="80" t="s">
        <v>1510</v>
      </c>
      <c r="G138" s="103">
        <v>28</v>
      </c>
      <c r="H138" s="104">
        <v>1200</v>
      </c>
      <c r="I138" s="82">
        <v>3</v>
      </c>
      <c r="J138" s="88" t="s">
        <v>40</v>
      </c>
      <c r="K138" s="89">
        <v>1</v>
      </c>
      <c r="L138" s="82"/>
      <c r="M138" s="82">
        <f aca="true" t="shared" si="27" ref="M138:M145">H138*G138*5/100</f>
        <v>1680</v>
      </c>
      <c r="N138" s="82">
        <f aca="true" t="shared" si="28" ref="N138:N145">M138*0.15*7</f>
        <v>1764</v>
      </c>
      <c r="O138" s="82">
        <f aca="true" t="shared" si="29" ref="O138:O145">M138*6.6*7+N138*2</f>
        <v>81144</v>
      </c>
      <c r="P138" s="82">
        <v>1</v>
      </c>
      <c r="Q138" s="82">
        <v>1</v>
      </c>
      <c r="R138" s="82">
        <f t="shared" si="19"/>
        <v>2025000</v>
      </c>
      <c r="S138" s="82">
        <f t="shared" si="24"/>
        <v>2025000</v>
      </c>
      <c r="T138" s="82">
        <f t="shared" si="25"/>
        <v>0</v>
      </c>
      <c r="U138" s="82">
        <f t="shared" si="26"/>
        <v>2025000</v>
      </c>
    </row>
    <row r="139" spans="1:21" s="42" customFormat="1" ht="27.75" customHeight="1">
      <c r="A139" s="91">
        <v>133</v>
      </c>
      <c r="B139" s="81" t="s">
        <v>46</v>
      </c>
      <c r="C139" s="329" t="s">
        <v>1575</v>
      </c>
      <c r="D139" s="155" t="s">
        <v>1574</v>
      </c>
      <c r="E139" s="102" t="s">
        <v>384</v>
      </c>
      <c r="F139" s="80" t="s">
        <v>1510</v>
      </c>
      <c r="G139" s="103">
        <v>28</v>
      </c>
      <c r="H139" s="104">
        <v>1200</v>
      </c>
      <c r="I139" s="82">
        <v>3</v>
      </c>
      <c r="J139" s="88" t="s">
        <v>40</v>
      </c>
      <c r="K139" s="89">
        <v>1</v>
      </c>
      <c r="L139" s="82"/>
      <c r="M139" s="82">
        <f t="shared" si="27"/>
        <v>1680</v>
      </c>
      <c r="N139" s="82">
        <f t="shared" si="28"/>
        <v>1764</v>
      </c>
      <c r="O139" s="82">
        <f t="shared" si="29"/>
        <v>81144</v>
      </c>
      <c r="P139" s="82">
        <v>1</v>
      </c>
      <c r="Q139" s="82">
        <v>1</v>
      </c>
      <c r="R139" s="82">
        <f t="shared" si="19"/>
        <v>2025000</v>
      </c>
      <c r="S139" s="82">
        <f t="shared" si="24"/>
        <v>2025000</v>
      </c>
      <c r="T139" s="82">
        <f t="shared" si="25"/>
        <v>0</v>
      </c>
      <c r="U139" s="82">
        <f t="shared" si="26"/>
        <v>2025000</v>
      </c>
    </row>
    <row r="140" spans="1:21" s="42" customFormat="1" ht="28.5" customHeight="1">
      <c r="A140" s="91">
        <v>134</v>
      </c>
      <c r="B140" s="81" t="s">
        <v>46</v>
      </c>
      <c r="C140" s="329" t="s">
        <v>1576</v>
      </c>
      <c r="D140" s="155" t="s">
        <v>1574</v>
      </c>
      <c r="E140" s="102" t="s">
        <v>384</v>
      </c>
      <c r="F140" s="80" t="s">
        <v>1510</v>
      </c>
      <c r="G140" s="103">
        <v>28</v>
      </c>
      <c r="H140" s="104">
        <v>1200</v>
      </c>
      <c r="I140" s="82">
        <v>3</v>
      </c>
      <c r="J140" s="88" t="s">
        <v>40</v>
      </c>
      <c r="K140" s="89">
        <v>1</v>
      </c>
      <c r="L140" s="82"/>
      <c r="M140" s="82">
        <f t="shared" si="27"/>
        <v>1680</v>
      </c>
      <c r="N140" s="82">
        <f t="shared" si="28"/>
        <v>1764</v>
      </c>
      <c r="O140" s="82">
        <f t="shared" si="29"/>
        <v>81144</v>
      </c>
      <c r="P140" s="82">
        <v>1</v>
      </c>
      <c r="Q140" s="82">
        <v>1</v>
      </c>
      <c r="R140" s="82">
        <f t="shared" si="19"/>
        <v>2025000</v>
      </c>
      <c r="S140" s="82">
        <f t="shared" si="24"/>
        <v>2025000</v>
      </c>
      <c r="T140" s="82">
        <f t="shared" si="25"/>
        <v>0</v>
      </c>
      <c r="U140" s="82">
        <f t="shared" si="26"/>
        <v>2025000</v>
      </c>
    </row>
    <row r="141" spans="1:22" s="42" customFormat="1" ht="28.5" customHeight="1">
      <c r="A141" s="91">
        <v>135</v>
      </c>
      <c r="B141" s="81" t="s">
        <v>46</v>
      </c>
      <c r="C141" s="329" t="s">
        <v>1580</v>
      </c>
      <c r="D141" s="155" t="s">
        <v>1578</v>
      </c>
      <c r="E141" s="102" t="s">
        <v>1579</v>
      </c>
      <c r="F141" s="80" t="s">
        <v>1510</v>
      </c>
      <c r="G141" s="103">
        <v>35</v>
      </c>
      <c r="H141" s="104">
        <v>4000</v>
      </c>
      <c r="I141" s="82">
        <v>3</v>
      </c>
      <c r="J141" s="88" t="s">
        <v>40</v>
      </c>
      <c r="K141" s="89">
        <v>1</v>
      </c>
      <c r="L141" s="82"/>
      <c r="M141" s="82">
        <f t="shared" si="27"/>
        <v>7000</v>
      </c>
      <c r="N141" s="82">
        <f t="shared" si="28"/>
        <v>7350</v>
      </c>
      <c r="O141" s="82">
        <f t="shared" si="29"/>
        <v>338100</v>
      </c>
      <c r="P141" s="82">
        <v>1</v>
      </c>
      <c r="Q141" s="82">
        <v>1</v>
      </c>
      <c r="R141" s="82">
        <f t="shared" si="19"/>
        <v>2025000</v>
      </c>
      <c r="S141" s="82">
        <f t="shared" si="24"/>
        <v>2025000</v>
      </c>
      <c r="T141" s="82">
        <f t="shared" si="25"/>
        <v>0</v>
      </c>
      <c r="U141" s="82">
        <f t="shared" si="26"/>
        <v>2025000</v>
      </c>
      <c r="V141" s="42" t="s">
        <v>1585</v>
      </c>
    </row>
    <row r="142" spans="1:22" s="42" customFormat="1" ht="29.25" customHeight="1">
      <c r="A142" s="91">
        <v>136</v>
      </c>
      <c r="B142" s="81" t="s">
        <v>46</v>
      </c>
      <c r="C142" s="329" t="s">
        <v>1581</v>
      </c>
      <c r="D142" s="155" t="s">
        <v>1578</v>
      </c>
      <c r="E142" s="102" t="s">
        <v>1579</v>
      </c>
      <c r="F142" s="80" t="s">
        <v>1510</v>
      </c>
      <c r="G142" s="103">
        <v>35</v>
      </c>
      <c r="H142" s="104">
        <v>4000</v>
      </c>
      <c r="I142" s="82">
        <v>3</v>
      </c>
      <c r="J142" s="88" t="s">
        <v>40</v>
      </c>
      <c r="K142" s="89">
        <v>1</v>
      </c>
      <c r="L142" s="82"/>
      <c r="M142" s="82">
        <f t="shared" si="27"/>
        <v>7000</v>
      </c>
      <c r="N142" s="82">
        <f t="shared" si="28"/>
        <v>7350</v>
      </c>
      <c r="O142" s="82">
        <f t="shared" si="29"/>
        <v>338100</v>
      </c>
      <c r="P142" s="82">
        <v>1</v>
      </c>
      <c r="Q142" s="82">
        <v>1</v>
      </c>
      <c r="R142" s="82">
        <f t="shared" si="19"/>
        <v>2025000</v>
      </c>
      <c r="S142" s="82">
        <f t="shared" si="24"/>
        <v>2025000</v>
      </c>
      <c r="T142" s="82">
        <f t="shared" si="25"/>
        <v>0</v>
      </c>
      <c r="U142" s="82">
        <f t="shared" si="26"/>
        <v>2025000</v>
      </c>
      <c r="V142" s="42" t="s">
        <v>1585</v>
      </c>
    </row>
    <row r="143" spans="1:22" s="42" customFormat="1" ht="27" customHeight="1">
      <c r="A143" s="91">
        <v>137</v>
      </c>
      <c r="B143" s="81" t="s">
        <v>46</v>
      </c>
      <c r="C143" s="329" t="s">
        <v>1582</v>
      </c>
      <c r="D143" s="155" t="s">
        <v>1578</v>
      </c>
      <c r="E143" s="102" t="s">
        <v>1579</v>
      </c>
      <c r="F143" s="80" t="s">
        <v>1510</v>
      </c>
      <c r="G143" s="103">
        <v>35</v>
      </c>
      <c r="H143" s="104">
        <v>4000</v>
      </c>
      <c r="I143" s="82">
        <v>3</v>
      </c>
      <c r="J143" s="88" t="s">
        <v>40</v>
      </c>
      <c r="K143" s="89">
        <v>1</v>
      </c>
      <c r="L143" s="82"/>
      <c r="M143" s="82">
        <f t="shared" si="27"/>
        <v>7000</v>
      </c>
      <c r="N143" s="82">
        <f t="shared" si="28"/>
        <v>7350</v>
      </c>
      <c r="O143" s="82">
        <f t="shared" si="29"/>
        <v>338100</v>
      </c>
      <c r="P143" s="82">
        <v>1</v>
      </c>
      <c r="Q143" s="82">
        <v>1</v>
      </c>
      <c r="R143" s="82">
        <f t="shared" si="19"/>
        <v>2025000</v>
      </c>
      <c r="S143" s="82">
        <f t="shared" si="24"/>
        <v>2025000</v>
      </c>
      <c r="T143" s="82">
        <f t="shared" si="25"/>
        <v>0</v>
      </c>
      <c r="U143" s="82">
        <f t="shared" si="26"/>
        <v>2025000</v>
      </c>
      <c r="V143" s="42" t="s">
        <v>1585</v>
      </c>
    </row>
    <row r="144" spans="1:22" s="42" customFormat="1" ht="27" customHeight="1">
      <c r="A144" s="91">
        <v>138</v>
      </c>
      <c r="B144" s="81" t="s">
        <v>46</v>
      </c>
      <c r="C144" s="329" t="s">
        <v>1583</v>
      </c>
      <c r="D144" s="155" t="s">
        <v>1578</v>
      </c>
      <c r="E144" s="102" t="s">
        <v>1579</v>
      </c>
      <c r="F144" s="80" t="s">
        <v>1510</v>
      </c>
      <c r="G144" s="103">
        <v>35</v>
      </c>
      <c r="H144" s="104">
        <v>4000</v>
      </c>
      <c r="I144" s="82">
        <v>3</v>
      </c>
      <c r="J144" s="88" t="s">
        <v>40</v>
      </c>
      <c r="K144" s="89">
        <v>1</v>
      </c>
      <c r="L144" s="82"/>
      <c r="M144" s="82">
        <f t="shared" si="27"/>
        <v>7000</v>
      </c>
      <c r="N144" s="82">
        <f t="shared" si="28"/>
        <v>7350</v>
      </c>
      <c r="O144" s="82">
        <f t="shared" si="29"/>
        <v>338100</v>
      </c>
      <c r="P144" s="82">
        <v>1</v>
      </c>
      <c r="Q144" s="82">
        <v>1</v>
      </c>
      <c r="R144" s="82">
        <f t="shared" si="19"/>
        <v>2025000</v>
      </c>
      <c r="S144" s="82">
        <f t="shared" si="24"/>
        <v>2025000</v>
      </c>
      <c r="T144" s="82">
        <f t="shared" si="25"/>
        <v>0</v>
      </c>
      <c r="U144" s="82">
        <f t="shared" si="26"/>
        <v>2025000</v>
      </c>
      <c r="V144" s="42" t="s">
        <v>1585</v>
      </c>
    </row>
    <row r="145" spans="1:22" s="42" customFormat="1" ht="25.5" customHeight="1" thickBot="1">
      <c r="A145" s="91">
        <v>139</v>
      </c>
      <c r="B145" s="81" t="s">
        <v>46</v>
      </c>
      <c r="C145" s="329" t="s">
        <v>1584</v>
      </c>
      <c r="D145" s="155" t="s">
        <v>1578</v>
      </c>
      <c r="E145" s="102" t="s">
        <v>1579</v>
      </c>
      <c r="F145" s="80" t="s">
        <v>1510</v>
      </c>
      <c r="G145" s="103">
        <v>35</v>
      </c>
      <c r="H145" s="104">
        <v>4000</v>
      </c>
      <c r="I145" s="82">
        <v>2</v>
      </c>
      <c r="J145" s="88" t="s">
        <v>40</v>
      </c>
      <c r="K145" s="89">
        <v>1</v>
      </c>
      <c r="L145" s="82"/>
      <c r="M145" s="82">
        <f t="shared" si="27"/>
        <v>7000</v>
      </c>
      <c r="N145" s="82">
        <f t="shared" si="28"/>
        <v>7350</v>
      </c>
      <c r="O145" s="82">
        <f t="shared" si="29"/>
        <v>338100</v>
      </c>
      <c r="P145" s="82">
        <v>1</v>
      </c>
      <c r="Q145" s="82">
        <v>1</v>
      </c>
      <c r="R145" s="82">
        <f t="shared" si="19"/>
        <v>2025000</v>
      </c>
      <c r="S145" s="82">
        <f t="shared" si="24"/>
        <v>2025000</v>
      </c>
      <c r="T145" s="82">
        <f t="shared" si="25"/>
        <v>0</v>
      </c>
      <c r="U145" s="82">
        <f t="shared" si="26"/>
        <v>2025000</v>
      </c>
      <c r="V145" s="42" t="s">
        <v>1585</v>
      </c>
    </row>
    <row r="146" spans="1:21" s="42" customFormat="1" ht="22.5" customHeight="1">
      <c r="A146" s="367" t="s">
        <v>93</v>
      </c>
      <c r="B146" s="368"/>
      <c r="C146" s="369"/>
      <c r="D146" s="369"/>
      <c r="E146" s="368"/>
      <c r="F146" s="368"/>
      <c r="G146" s="370"/>
      <c r="H146" s="368"/>
      <c r="I146" s="368"/>
      <c r="J146" s="371"/>
      <c r="K146" s="372"/>
      <c r="L146" s="372"/>
      <c r="M146" s="368"/>
      <c r="N146" s="368"/>
      <c r="O146" s="368"/>
      <c r="P146" s="392">
        <f>SUM(P7:P137)</f>
        <v>131</v>
      </c>
      <c r="Q146" s="368"/>
      <c r="R146" s="368"/>
      <c r="S146" s="368"/>
      <c r="T146" s="368"/>
      <c r="U146" s="373"/>
    </row>
    <row r="147" spans="1:21" s="42" customFormat="1" ht="27.75" customHeight="1">
      <c r="A147" s="118">
        <v>1</v>
      </c>
      <c r="B147" s="80" t="s">
        <v>46</v>
      </c>
      <c r="C147" s="333" t="s">
        <v>438</v>
      </c>
      <c r="D147" s="105" t="s">
        <v>441</v>
      </c>
      <c r="E147" s="80" t="s">
        <v>439</v>
      </c>
      <c r="F147" s="81" t="s">
        <v>1112</v>
      </c>
      <c r="G147" s="66">
        <v>17</v>
      </c>
      <c r="H147" s="82">
        <v>2000</v>
      </c>
      <c r="I147" s="82">
        <v>2</v>
      </c>
      <c r="J147" s="84" t="s">
        <v>62</v>
      </c>
      <c r="K147" s="86">
        <v>1</v>
      </c>
      <c r="L147" s="82">
        <v>0</v>
      </c>
      <c r="M147" s="82">
        <f>G147*H147*5/100</f>
        <v>1700</v>
      </c>
      <c r="N147" s="82">
        <f>M147*0.15*7</f>
        <v>1785</v>
      </c>
      <c r="O147" s="82">
        <f>M147*6.6*7+N147*2</f>
        <v>82110</v>
      </c>
      <c r="P147" s="82">
        <v>1</v>
      </c>
      <c r="Q147" s="82">
        <v>1</v>
      </c>
      <c r="R147" s="82">
        <f>68*$R$2</f>
        <v>1530000</v>
      </c>
      <c r="S147" s="82">
        <f aca="true" t="shared" si="30" ref="S147:S210">R147*Q147*P147*K147</f>
        <v>1530000</v>
      </c>
      <c r="T147" s="82">
        <f>L147*P147*Q147*R147</f>
        <v>0</v>
      </c>
      <c r="U147" s="82">
        <f>R147*Q147*P147</f>
        <v>1530000</v>
      </c>
    </row>
    <row r="148" spans="1:21" s="42" customFormat="1" ht="28.5" customHeight="1">
      <c r="A148" s="118">
        <v>2</v>
      </c>
      <c r="B148" s="80" t="s">
        <v>17</v>
      </c>
      <c r="C148" s="333" t="s">
        <v>440</v>
      </c>
      <c r="D148" s="105" t="s">
        <v>441</v>
      </c>
      <c r="E148" s="80" t="s">
        <v>439</v>
      </c>
      <c r="F148" s="81" t="s">
        <v>1112</v>
      </c>
      <c r="G148" s="66">
        <v>17</v>
      </c>
      <c r="H148" s="82">
        <v>2000</v>
      </c>
      <c r="I148" s="82">
        <v>2</v>
      </c>
      <c r="J148" s="84" t="s">
        <v>62</v>
      </c>
      <c r="K148" s="86">
        <v>1</v>
      </c>
      <c r="L148" s="82">
        <v>0</v>
      </c>
      <c r="M148" s="82">
        <f>G148*H148/5</f>
        <v>6800</v>
      </c>
      <c r="N148" s="82">
        <f>M148*0.15*5.5</f>
        <v>5610</v>
      </c>
      <c r="O148" s="82">
        <f>M148*6.6*5.5+N148*2</f>
        <v>258060</v>
      </c>
      <c r="P148" s="82">
        <v>1</v>
      </c>
      <c r="Q148" s="82">
        <v>1</v>
      </c>
      <c r="R148" s="82">
        <f aca="true" t="shared" si="31" ref="R148:R211">68*$R$2</f>
        <v>1530000</v>
      </c>
      <c r="S148" s="82">
        <f t="shared" si="30"/>
        <v>1530000</v>
      </c>
      <c r="T148" s="82">
        <f aca="true" t="shared" si="32" ref="T148:T163">L148*P148*Q148*R148</f>
        <v>0</v>
      </c>
      <c r="U148" s="82">
        <f>R148*Q148*P148</f>
        <v>1530000</v>
      </c>
    </row>
    <row r="149" spans="1:21" s="42" customFormat="1" ht="20.25" customHeight="1">
      <c r="A149" s="118">
        <v>3</v>
      </c>
      <c r="B149" s="80" t="s">
        <v>46</v>
      </c>
      <c r="C149" s="333" t="s">
        <v>442</v>
      </c>
      <c r="D149" s="261" t="s">
        <v>443</v>
      </c>
      <c r="E149" s="80" t="s">
        <v>374</v>
      </c>
      <c r="F149" s="80" t="s">
        <v>1138</v>
      </c>
      <c r="G149" s="66">
        <v>15</v>
      </c>
      <c r="H149" s="82">
        <v>800</v>
      </c>
      <c r="I149" s="82">
        <v>2</v>
      </c>
      <c r="J149" s="84" t="s">
        <v>1348</v>
      </c>
      <c r="K149" s="86">
        <v>1</v>
      </c>
      <c r="L149" s="82">
        <v>1</v>
      </c>
      <c r="M149" s="82">
        <f aca="true" t="shared" si="33" ref="M149:M164">G149*H149*5/100</f>
        <v>600</v>
      </c>
      <c r="N149" s="82">
        <f>M149*0.15*7</f>
        <v>630</v>
      </c>
      <c r="O149" s="82">
        <f>M149*6.6*7+N149*2</f>
        <v>28980</v>
      </c>
      <c r="P149" s="82">
        <v>1</v>
      </c>
      <c r="Q149" s="82">
        <v>1</v>
      </c>
      <c r="R149" s="82">
        <f t="shared" si="31"/>
        <v>1530000</v>
      </c>
      <c r="S149" s="82">
        <f t="shared" si="30"/>
        <v>1530000</v>
      </c>
      <c r="T149" s="82">
        <f t="shared" si="32"/>
        <v>1530000</v>
      </c>
      <c r="U149" s="82">
        <f>S149+T149</f>
        <v>3060000</v>
      </c>
    </row>
    <row r="150" spans="1:21" s="42" customFormat="1" ht="20.25" customHeight="1">
      <c r="A150" s="118">
        <v>4</v>
      </c>
      <c r="B150" s="80" t="s">
        <v>46</v>
      </c>
      <c r="C150" s="333" t="s">
        <v>444</v>
      </c>
      <c r="D150" s="261" t="s">
        <v>443</v>
      </c>
      <c r="E150" s="80" t="s">
        <v>374</v>
      </c>
      <c r="F150" s="80" t="s">
        <v>1138</v>
      </c>
      <c r="G150" s="66">
        <v>17</v>
      </c>
      <c r="H150" s="82">
        <v>800</v>
      </c>
      <c r="I150" s="82">
        <v>3</v>
      </c>
      <c r="J150" s="84" t="s">
        <v>1347</v>
      </c>
      <c r="K150" s="86">
        <v>1</v>
      </c>
      <c r="L150" s="82">
        <v>1</v>
      </c>
      <c r="M150" s="82">
        <f t="shared" si="33"/>
        <v>680</v>
      </c>
      <c r="N150" s="82">
        <f aca="true" t="shared" si="34" ref="N150:N164">M150*0.15*7</f>
        <v>714</v>
      </c>
      <c r="O150" s="82">
        <f aca="true" t="shared" si="35" ref="O150:O164">M150*6.6*7+N150*2</f>
        <v>32844</v>
      </c>
      <c r="P150" s="82">
        <v>1</v>
      </c>
      <c r="Q150" s="82">
        <v>1</v>
      </c>
      <c r="R150" s="82">
        <f t="shared" si="31"/>
        <v>1530000</v>
      </c>
      <c r="S150" s="82">
        <f t="shared" si="30"/>
        <v>1530000</v>
      </c>
      <c r="T150" s="82">
        <f t="shared" si="32"/>
        <v>1530000</v>
      </c>
      <c r="U150" s="82">
        <f aca="true" t="shared" si="36" ref="U150:U213">S150+T150</f>
        <v>3060000</v>
      </c>
    </row>
    <row r="151" spans="1:21" s="42" customFormat="1" ht="20.25" customHeight="1">
      <c r="A151" s="118">
        <v>5</v>
      </c>
      <c r="B151" s="80" t="s">
        <v>46</v>
      </c>
      <c r="C151" s="333" t="s">
        <v>446</v>
      </c>
      <c r="D151" s="261" t="s">
        <v>443</v>
      </c>
      <c r="E151" s="80" t="s">
        <v>374</v>
      </c>
      <c r="F151" s="80" t="s">
        <v>1138</v>
      </c>
      <c r="G151" s="66">
        <v>17</v>
      </c>
      <c r="H151" s="82">
        <v>800</v>
      </c>
      <c r="I151" s="82">
        <v>3</v>
      </c>
      <c r="J151" s="84" t="s">
        <v>1347</v>
      </c>
      <c r="K151" s="86">
        <v>1</v>
      </c>
      <c r="L151" s="82">
        <v>1</v>
      </c>
      <c r="M151" s="82">
        <f t="shared" si="33"/>
        <v>680</v>
      </c>
      <c r="N151" s="82">
        <f t="shared" si="34"/>
        <v>714</v>
      </c>
      <c r="O151" s="82">
        <f t="shared" si="35"/>
        <v>32844</v>
      </c>
      <c r="P151" s="82">
        <v>1</v>
      </c>
      <c r="Q151" s="82">
        <v>1</v>
      </c>
      <c r="R151" s="82">
        <f t="shared" si="31"/>
        <v>1530000</v>
      </c>
      <c r="S151" s="82">
        <f t="shared" si="30"/>
        <v>1530000</v>
      </c>
      <c r="T151" s="82">
        <f t="shared" si="32"/>
        <v>1530000</v>
      </c>
      <c r="U151" s="82">
        <f t="shared" si="36"/>
        <v>3060000</v>
      </c>
    </row>
    <row r="152" spans="1:21" s="42" customFormat="1" ht="20.25" customHeight="1">
      <c r="A152" s="118">
        <v>6</v>
      </c>
      <c r="B152" s="80" t="s">
        <v>46</v>
      </c>
      <c r="C152" s="333" t="s">
        <v>447</v>
      </c>
      <c r="D152" s="261" t="s">
        <v>443</v>
      </c>
      <c r="E152" s="80" t="s">
        <v>374</v>
      </c>
      <c r="F152" s="80" t="s">
        <v>1138</v>
      </c>
      <c r="G152" s="66">
        <v>17</v>
      </c>
      <c r="H152" s="82">
        <v>800</v>
      </c>
      <c r="I152" s="82">
        <v>3</v>
      </c>
      <c r="J152" s="84" t="s">
        <v>1347</v>
      </c>
      <c r="K152" s="86">
        <v>1</v>
      </c>
      <c r="L152" s="82">
        <v>1</v>
      </c>
      <c r="M152" s="82">
        <f t="shared" si="33"/>
        <v>680</v>
      </c>
      <c r="N152" s="82">
        <f t="shared" si="34"/>
        <v>714</v>
      </c>
      <c r="O152" s="82">
        <f t="shared" si="35"/>
        <v>32844</v>
      </c>
      <c r="P152" s="82">
        <v>1</v>
      </c>
      <c r="Q152" s="82">
        <v>1</v>
      </c>
      <c r="R152" s="82">
        <f t="shared" si="31"/>
        <v>1530000</v>
      </c>
      <c r="S152" s="82">
        <f t="shared" si="30"/>
        <v>1530000</v>
      </c>
      <c r="T152" s="82">
        <f>L152*P152*Q152*R152</f>
        <v>1530000</v>
      </c>
      <c r="U152" s="82">
        <f>S152+T152</f>
        <v>3060000</v>
      </c>
    </row>
    <row r="153" spans="1:21" s="42" customFormat="1" ht="20.25" customHeight="1">
      <c r="A153" s="118">
        <v>7</v>
      </c>
      <c r="B153" s="80" t="s">
        <v>46</v>
      </c>
      <c r="C153" s="333" t="s">
        <v>448</v>
      </c>
      <c r="D153" s="261" t="s">
        <v>443</v>
      </c>
      <c r="E153" s="80" t="s">
        <v>374</v>
      </c>
      <c r="F153" s="80" t="s">
        <v>1138</v>
      </c>
      <c r="G153" s="66">
        <v>17</v>
      </c>
      <c r="H153" s="82">
        <v>800</v>
      </c>
      <c r="I153" s="82">
        <v>3</v>
      </c>
      <c r="J153" s="84" t="s">
        <v>1347</v>
      </c>
      <c r="K153" s="86">
        <v>1</v>
      </c>
      <c r="L153" s="82">
        <v>1</v>
      </c>
      <c r="M153" s="82">
        <f t="shared" si="33"/>
        <v>680</v>
      </c>
      <c r="N153" s="82">
        <f t="shared" si="34"/>
        <v>714</v>
      </c>
      <c r="O153" s="82">
        <f t="shared" si="35"/>
        <v>32844</v>
      </c>
      <c r="P153" s="82">
        <v>1</v>
      </c>
      <c r="Q153" s="82">
        <v>1</v>
      </c>
      <c r="R153" s="82">
        <f t="shared" si="31"/>
        <v>1530000</v>
      </c>
      <c r="S153" s="82">
        <f t="shared" si="30"/>
        <v>1530000</v>
      </c>
      <c r="T153" s="82">
        <f t="shared" si="32"/>
        <v>1530000</v>
      </c>
      <c r="U153" s="82">
        <f t="shared" si="36"/>
        <v>3060000</v>
      </c>
    </row>
    <row r="154" spans="1:21" s="42" customFormat="1" ht="20.25" customHeight="1">
      <c r="A154" s="118">
        <v>8</v>
      </c>
      <c r="B154" s="80" t="s">
        <v>46</v>
      </c>
      <c r="C154" s="333" t="s">
        <v>449</v>
      </c>
      <c r="D154" s="261" t="s">
        <v>443</v>
      </c>
      <c r="E154" s="80" t="s">
        <v>374</v>
      </c>
      <c r="F154" s="80" t="s">
        <v>1138</v>
      </c>
      <c r="G154" s="66">
        <v>17</v>
      </c>
      <c r="H154" s="82">
        <v>800</v>
      </c>
      <c r="I154" s="82">
        <v>3</v>
      </c>
      <c r="J154" s="84" t="s">
        <v>1347</v>
      </c>
      <c r="K154" s="86">
        <v>1</v>
      </c>
      <c r="L154" s="82">
        <v>1</v>
      </c>
      <c r="M154" s="82">
        <f t="shared" si="33"/>
        <v>680</v>
      </c>
      <c r="N154" s="82">
        <f t="shared" si="34"/>
        <v>714</v>
      </c>
      <c r="O154" s="82">
        <f t="shared" si="35"/>
        <v>32844</v>
      </c>
      <c r="P154" s="82">
        <v>1</v>
      </c>
      <c r="Q154" s="82">
        <v>1</v>
      </c>
      <c r="R154" s="82">
        <f t="shared" si="31"/>
        <v>1530000</v>
      </c>
      <c r="S154" s="82">
        <f t="shared" si="30"/>
        <v>1530000</v>
      </c>
      <c r="T154" s="82">
        <f t="shared" si="32"/>
        <v>1530000</v>
      </c>
      <c r="U154" s="82">
        <f t="shared" si="36"/>
        <v>3060000</v>
      </c>
    </row>
    <row r="155" spans="1:21" s="42" customFormat="1" ht="20.25" customHeight="1">
      <c r="A155" s="118">
        <v>9</v>
      </c>
      <c r="B155" s="80" t="s">
        <v>46</v>
      </c>
      <c r="C155" s="333" t="s">
        <v>450</v>
      </c>
      <c r="D155" s="261" t="s">
        <v>443</v>
      </c>
      <c r="E155" s="80" t="s">
        <v>374</v>
      </c>
      <c r="F155" s="80" t="s">
        <v>1138</v>
      </c>
      <c r="G155" s="66">
        <v>17</v>
      </c>
      <c r="H155" s="82">
        <v>800</v>
      </c>
      <c r="I155" s="82">
        <v>3</v>
      </c>
      <c r="J155" s="84" t="s">
        <v>1347</v>
      </c>
      <c r="K155" s="86">
        <v>1</v>
      </c>
      <c r="L155" s="82">
        <v>1</v>
      </c>
      <c r="M155" s="82">
        <f t="shared" si="33"/>
        <v>680</v>
      </c>
      <c r="N155" s="82">
        <f t="shared" si="34"/>
        <v>714</v>
      </c>
      <c r="O155" s="82">
        <f t="shared" si="35"/>
        <v>32844</v>
      </c>
      <c r="P155" s="82">
        <v>1</v>
      </c>
      <c r="Q155" s="82">
        <v>1</v>
      </c>
      <c r="R155" s="82">
        <f t="shared" si="31"/>
        <v>1530000</v>
      </c>
      <c r="S155" s="82">
        <f t="shared" si="30"/>
        <v>1530000</v>
      </c>
      <c r="T155" s="82">
        <f>L155*P155*Q155*R155</f>
        <v>1530000</v>
      </c>
      <c r="U155" s="82">
        <f t="shared" si="36"/>
        <v>3060000</v>
      </c>
    </row>
    <row r="156" spans="1:21" s="42" customFormat="1" ht="20.25" customHeight="1">
      <c r="A156" s="118">
        <v>10</v>
      </c>
      <c r="B156" s="80" t="s">
        <v>46</v>
      </c>
      <c r="C156" s="333" t="s">
        <v>451</v>
      </c>
      <c r="D156" s="261" t="s">
        <v>443</v>
      </c>
      <c r="E156" s="80" t="s">
        <v>374</v>
      </c>
      <c r="F156" s="80" t="s">
        <v>1138</v>
      </c>
      <c r="G156" s="66">
        <v>17</v>
      </c>
      <c r="H156" s="82">
        <v>800</v>
      </c>
      <c r="I156" s="82">
        <v>3</v>
      </c>
      <c r="J156" s="84" t="s">
        <v>1347</v>
      </c>
      <c r="K156" s="86">
        <v>1</v>
      </c>
      <c r="L156" s="82">
        <v>1</v>
      </c>
      <c r="M156" s="82">
        <f t="shared" si="33"/>
        <v>680</v>
      </c>
      <c r="N156" s="82">
        <f t="shared" si="34"/>
        <v>714</v>
      </c>
      <c r="O156" s="82">
        <f t="shared" si="35"/>
        <v>32844</v>
      </c>
      <c r="P156" s="82">
        <v>1</v>
      </c>
      <c r="Q156" s="82">
        <v>1</v>
      </c>
      <c r="R156" s="82">
        <f t="shared" si="31"/>
        <v>1530000</v>
      </c>
      <c r="S156" s="82">
        <f t="shared" si="30"/>
        <v>1530000</v>
      </c>
      <c r="T156" s="82">
        <f t="shared" si="32"/>
        <v>1530000</v>
      </c>
      <c r="U156" s="82">
        <f t="shared" si="36"/>
        <v>3060000</v>
      </c>
    </row>
    <row r="157" spans="1:21" s="42" customFormat="1" ht="20.25" customHeight="1">
      <c r="A157" s="118">
        <v>11</v>
      </c>
      <c r="B157" s="80" t="s">
        <v>46</v>
      </c>
      <c r="C157" s="333" t="s">
        <v>452</v>
      </c>
      <c r="D157" s="261" t="s">
        <v>443</v>
      </c>
      <c r="E157" s="80" t="s">
        <v>374</v>
      </c>
      <c r="F157" s="80" t="s">
        <v>1138</v>
      </c>
      <c r="G157" s="66">
        <v>17</v>
      </c>
      <c r="H157" s="82">
        <v>800</v>
      </c>
      <c r="I157" s="82">
        <v>3</v>
      </c>
      <c r="J157" s="84" t="s">
        <v>1347</v>
      </c>
      <c r="K157" s="86">
        <v>1</v>
      </c>
      <c r="L157" s="82">
        <v>1</v>
      </c>
      <c r="M157" s="82">
        <f t="shared" si="33"/>
        <v>680</v>
      </c>
      <c r="N157" s="82">
        <f t="shared" si="34"/>
        <v>714</v>
      </c>
      <c r="O157" s="82">
        <f t="shared" si="35"/>
        <v>32844</v>
      </c>
      <c r="P157" s="82">
        <v>1</v>
      </c>
      <c r="Q157" s="82">
        <v>1</v>
      </c>
      <c r="R157" s="82">
        <f t="shared" si="31"/>
        <v>1530000</v>
      </c>
      <c r="S157" s="82">
        <f t="shared" si="30"/>
        <v>1530000</v>
      </c>
      <c r="T157" s="82">
        <f t="shared" si="32"/>
        <v>1530000</v>
      </c>
      <c r="U157" s="82">
        <f t="shared" si="36"/>
        <v>3060000</v>
      </c>
    </row>
    <row r="158" spans="1:21" s="42" customFormat="1" ht="20.25" customHeight="1">
      <c r="A158" s="118">
        <v>12</v>
      </c>
      <c r="B158" s="80" t="s">
        <v>46</v>
      </c>
      <c r="C158" s="333" t="s">
        <v>453</v>
      </c>
      <c r="D158" s="261" t="s">
        <v>443</v>
      </c>
      <c r="E158" s="80" t="s">
        <v>374</v>
      </c>
      <c r="F158" s="80" t="s">
        <v>1138</v>
      </c>
      <c r="G158" s="66">
        <v>17</v>
      </c>
      <c r="H158" s="82">
        <v>800</v>
      </c>
      <c r="I158" s="82">
        <v>3</v>
      </c>
      <c r="J158" s="84" t="s">
        <v>1347</v>
      </c>
      <c r="K158" s="86">
        <v>1</v>
      </c>
      <c r="L158" s="82">
        <v>1</v>
      </c>
      <c r="M158" s="82">
        <f t="shared" si="33"/>
        <v>680</v>
      </c>
      <c r="N158" s="82">
        <f t="shared" si="34"/>
        <v>714</v>
      </c>
      <c r="O158" s="82">
        <f t="shared" si="35"/>
        <v>32844</v>
      </c>
      <c r="P158" s="82">
        <v>1</v>
      </c>
      <c r="Q158" s="82">
        <v>1</v>
      </c>
      <c r="R158" s="82">
        <f t="shared" si="31"/>
        <v>1530000</v>
      </c>
      <c r="S158" s="82">
        <f t="shared" si="30"/>
        <v>1530000</v>
      </c>
      <c r="T158" s="82">
        <f t="shared" si="32"/>
        <v>1530000</v>
      </c>
      <c r="U158" s="82">
        <f t="shared" si="36"/>
        <v>3060000</v>
      </c>
    </row>
    <row r="159" spans="1:21" s="42" customFormat="1" ht="20.25" customHeight="1">
      <c r="A159" s="118">
        <v>13</v>
      </c>
      <c r="B159" s="80" t="s">
        <v>46</v>
      </c>
      <c r="C159" s="334" t="s">
        <v>445</v>
      </c>
      <c r="D159" s="261" t="s">
        <v>443</v>
      </c>
      <c r="E159" s="80" t="s">
        <v>374</v>
      </c>
      <c r="F159" s="80" t="s">
        <v>1138</v>
      </c>
      <c r="G159" s="66">
        <v>17</v>
      </c>
      <c r="H159" s="82">
        <v>800</v>
      </c>
      <c r="I159" s="82">
        <v>3</v>
      </c>
      <c r="J159" s="84" t="s">
        <v>1000</v>
      </c>
      <c r="K159" s="86">
        <v>0</v>
      </c>
      <c r="L159" s="82">
        <v>1</v>
      </c>
      <c r="M159" s="82">
        <f t="shared" si="33"/>
        <v>680</v>
      </c>
      <c r="N159" s="82">
        <f t="shared" si="34"/>
        <v>714</v>
      </c>
      <c r="O159" s="82">
        <f t="shared" si="35"/>
        <v>32844</v>
      </c>
      <c r="P159" s="82">
        <v>1</v>
      </c>
      <c r="Q159" s="82">
        <v>1</v>
      </c>
      <c r="R159" s="82">
        <f t="shared" si="31"/>
        <v>1530000</v>
      </c>
      <c r="S159" s="82"/>
      <c r="T159" s="82">
        <f>L159*P159*Q159*R159</f>
        <v>1530000</v>
      </c>
      <c r="U159" s="82">
        <f t="shared" si="36"/>
        <v>1530000</v>
      </c>
    </row>
    <row r="160" spans="1:21" s="42" customFormat="1" ht="28.5" customHeight="1">
      <c r="A160" s="118">
        <v>14</v>
      </c>
      <c r="B160" s="80" t="s">
        <v>46</v>
      </c>
      <c r="C160" s="333" t="s">
        <v>803</v>
      </c>
      <c r="D160" s="105" t="s">
        <v>454</v>
      </c>
      <c r="E160" s="80" t="s">
        <v>378</v>
      </c>
      <c r="F160" s="80" t="s">
        <v>1138</v>
      </c>
      <c r="G160" s="66">
        <v>20</v>
      </c>
      <c r="H160" s="82">
        <v>2000</v>
      </c>
      <c r="I160" s="83">
        <v>4</v>
      </c>
      <c r="J160" s="84" t="s">
        <v>40</v>
      </c>
      <c r="K160" s="86">
        <v>1</v>
      </c>
      <c r="L160" s="86">
        <v>0</v>
      </c>
      <c r="M160" s="82">
        <f t="shared" si="33"/>
        <v>2000</v>
      </c>
      <c r="N160" s="82">
        <f t="shared" si="34"/>
        <v>2100</v>
      </c>
      <c r="O160" s="82">
        <f t="shared" si="35"/>
        <v>96600</v>
      </c>
      <c r="P160" s="82">
        <v>1</v>
      </c>
      <c r="Q160" s="82">
        <v>1</v>
      </c>
      <c r="R160" s="82">
        <f t="shared" si="31"/>
        <v>1530000</v>
      </c>
      <c r="S160" s="82">
        <f t="shared" si="30"/>
        <v>1530000</v>
      </c>
      <c r="T160" s="82">
        <f t="shared" si="32"/>
        <v>0</v>
      </c>
      <c r="U160" s="82">
        <f t="shared" si="36"/>
        <v>1530000</v>
      </c>
    </row>
    <row r="161" spans="1:21" s="42" customFormat="1" ht="20.25" customHeight="1">
      <c r="A161" s="118">
        <v>15</v>
      </c>
      <c r="B161" s="80" t="s">
        <v>46</v>
      </c>
      <c r="C161" s="333" t="s">
        <v>455</v>
      </c>
      <c r="D161" s="261" t="s">
        <v>443</v>
      </c>
      <c r="E161" s="80" t="s">
        <v>374</v>
      </c>
      <c r="F161" s="80" t="s">
        <v>1138</v>
      </c>
      <c r="G161" s="66">
        <v>18</v>
      </c>
      <c r="H161" s="82">
        <v>1000</v>
      </c>
      <c r="I161" s="82">
        <v>3</v>
      </c>
      <c r="J161" s="84" t="s">
        <v>1347</v>
      </c>
      <c r="K161" s="86">
        <v>1</v>
      </c>
      <c r="L161" s="82">
        <v>1</v>
      </c>
      <c r="M161" s="82">
        <f t="shared" si="33"/>
        <v>900</v>
      </c>
      <c r="N161" s="82">
        <f t="shared" si="34"/>
        <v>945</v>
      </c>
      <c r="O161" s="82">
        <f t="shared" si="35"/>
        <v>43470</v>
      </c>
      <c r="P161" s="82">
        <v>1</v>
      </c>
      <c r="Q161" s="82">
        <v>1</v>
      </c>
      <c r="R161" s="82">
        <f t="shared" si="31"/>
        <v>1530000</v>
      </c>
      <c r="S161" s="82">
        <f t="shared" si="30"/>
        <v>1530000</v>
      </c>
      <c r="T161" s="82">
        <f t="shared" si="32"/>
        <v>1530000</v>
      </c>
      <c r="U161" s="82">
        <f t="shared" si="36"/>
        <v>3060000</v>
      </c>
    </row>
    <row r="162" spans="1:21" s="42" customFormat="1" ht="20.25" customHeight="1">
      <c r="A162" s="118">
        <v>16</v>
      </c>
      <c r="B162" s="80" t="s">
        <v>46</v>
      </c>
      <c r="C162" s="333" t="s">
        <v>456</v>
      </c>
      <c r="D162" s="261" t="s">
        <v>443</v>
      </c>
      <c r="E162" s="80" t="s">
        <v>374</v>
      </c>
      <c r="F162" s="80" t="s">
        <v>1138</v>
      </c>
      <c r="G162" s="66">
        <v>17</v>
      </c>
      <c r="H162" s="82">
        <v>1000</v>
      </c>
      <c r="I162" s="82">
        <v>3</v>
      </c>
      <c r="J162" s="84" t="s">
        <v>1347</v>
      </c>
      <c r="K162" s="86">
        <v>1</v>
      </c>
      <c r="L162" s="82">
        <v>1</v>
      </c>
      <c r="M162" s="82">
        <f t="shared" si="33"/>
        <v>850</v>
      </c>
      <c r="N162" s="82">
        <f t="shared" si="34"/>
        <v>892.5</v>
      </c>
      <c r="O162" s="82">
        <f t="shared" si="35"/>
        <v>41055</v>
      </c>
      <c r="P162" s="82">
        <v>1</v>
      </c>
      <c r="Q162" s="82">
        <v>1</v>
      </c>
      <c r="R162" s="82">
        <f t="shared" si="31"/>
        <v>1530000</v>
      </c>
      <c r="S162" s="82">
        <f t="shared" si="30"/>
        <v>1530000</v>
      </c>
      <c r="T162" s="82">
        <f t="shared" si="32"/>
        <v>1530000</v>
      </c>
      <c r="U162" s="82">
        <f t="shared" si="36"/>
        <v>3060000</v>
      </c>
    </row>
    <row r="163" spans="1:21" s="42" customFormat="1" ht="20.25" customHeight="1">
      <c r="A163" s="118">
        <v>17</v>
      </c>
      <c r="B163" s="80" t="s">
        <v>46</v>
      </c>
      <c r="C163" s="333" t="s">
        <v>457</v>
      </c>
      <c r="D163" s="261" t="s">
        <v>443</v>
      </c>
      <c r="E163" s="80" t="s">
        <v>374</v>
      </c>
      <c r="F163" s="80" t="s">
        <v>1138</v>
      </c>
      <c r="G163" s="66">
        <v>17</v>
      </c>
      <c r="H163" s="82">
        <v>1300</v>
      </c>
      <c r="I163" s="82">
        <v>3</v>
      </c>
      <c r="J163" s="84" t="s">
        <v>1347</v>
      </c>
      <c r="K163" s="86">
        <v>1</v>
      </c>
      <c r="L163" s="82">
        <v>1</v>
      </c>
      <c r="M163" s="82">
        <f t="shared" si="33"/>
        <v>1105</v>
      </c>
      <c r="N163" s="82">
        <f t="shared" si="34"/>
        <v>1160.25</v>
      </c>
      <c r="O163" s="82">
        <f t="shared" si="35"/>
        <v>53371.5</v>
      </c>
      <c r="P163" s="82">
        <v>1</v>
      </c>
      <c r="Q163" s="82">
        <v>1</v>
      </c>
      <c r="R163" s="82">
        <f t="shared" si="31"/>
        <v>1530000</v>
      </c>
      <c r="S163" s="82">
        <f t="shared" si="30"/>
        <v>1530000</v>
      </c>
      <c r="T163" s="82">
        <f t="shared" si="32"/>
        <v>1530000</v>
      </c>
      <c r="U163" s="82">
        <f t="shared" si="36"/>
        <v>3060000</v>
      </c>
    </row>
    <row r="164" spans="1:21" s="42" customFormat="1" ht="20.25" customHeight="1">
      <c r="A164" s="118">
        <v>18</v>
      </c>
      <c r="B164" s="80" t="s">
        <v>46</v>
      </c>
      <c r="C164" s="333" t="s">
        <v>458</v>
      </c>
      <c r="D164" s="261" t="s">
        <v>443</v>
      </c>
      <c r="E164" s="80" t="s">
        <v>374</v>
      </c>
      <c r="F164" s="80" t="s">
        <v>1138</v>
      </c>
      <c r="G164" s="66">
        <v>17</v>
      </c>
      <c r="H164" s="82">
        <v>1300</v>
      </c>
      <c r="I164" s="82">
        <v>3</v>
      </c>
      <c r="J164" s="84" t="s">
        <v>1347</v>
      </c>
      <c r="K164" s="86">
        <v>1</v>
      </c>
      <c r="L164" s="82">
        <v>1</v>
      </c>
      <c r="M164" s="82">
        <f t="shared" si="33"/>
        <v>1105</v>
      </c>
      <c r="N164" s="82">
        <f t="shared" si="34"/>
        <v>1160.25</v>
      </c>
      <c r="O164" s="82">
        <f t="shared" si="35"/>
        <v>53371.5</v>
      </c>
      <c r="P164" s="82">
        <v>1</v>
      </c>
      <c r="Q164" s="82">
        <v>1</v>
      </c>
      <c r="R164" s="82">
        <f t="shared" si="31"/>
        <v>1530000</v>
      </c>
      <c r="S164" s="82">
        <f t="shared" si="30"/>
        <v>1530000</v>
      </c>
      <c r="T164" s="82">
        <f>L164*P164*Q164*R164</f>
        <v>1530000</v>
      </c>
      <c r="U164" s="82">
        <f t="shared" si="36"/>
        <v>3060000</v>
      </c>
    </row>
    <row r="165" spans="1:21" s="42" customFormat="1" ht="20.25" customHeight="1">
      <c r="A165" s="118">
        <v>19</v>
      </c>
      <c r="B165" s="80" t="s">
        <v>17</v>
      </c>
      <c r="C165" s="333" t="s">
        <v>459</v>
      </c>
      <c r="D165" s="105" t="s">
        <v>460</v>
      </c>
      <c r="E165" s="80" t="s">
        <v>374</v>
      </c>
      <c r="F165" s="80" t="s">
        <v>1181</v>
      </c>
      <c r="G165" s="66">
        <v>8</v>
      </c>
      <c r="H165" s="82">
        <v>550</v>
      </c>
      <c r="I165" s="83">
        <v>2</v>
      </c>
      <c r="J165" s="84" t="s">
        <v>40</v>
      </c>
      <c r="K165" s="86">
        <v>1</v>
      </c>
      <c r="L165" s="86">
        <v>0</v>
      </c>
      <c r="M165" s="82">
        <f>G165*H165/5</f>
        <v>880</v>
      </c>
      <c r="N165" s="82">
        <f>M165*0.15*5.5</f>
        <v>726</v>
      </c>
      <c r="O165" s="82">
        <f>M165*6.6*5.5+N165*2</f>
        <v>33396</v>
      </c>
      <c r="P165" s="82">
        <v>1</v>
      </c>
      <c r="Q165" s="82">
        <v>1</v>
      </c>
      <c r="R165" s="82">
        <f t="shared" si="31"/>
        <v>1530000</v>
      </c>
      <c r="S165" s="82">
        <f t="shared" si="30"/>
        <v>1530000</v>
      </c>
      <c r="T165" s="82">
        <f aca="true" t="shared" si="37" ref="T165:T228">L165*P165*Q165*R165</f>
        <v>0</v>
      </c>
      <c r="U165" s="82">
        <f t="shared" si="36"/>
        <v>1530000</v>
      </c>
    </row>
    <row r="166" spans="1:21" s="42" customFormat="1" ht="20.25" customHeight="1">
      <c r="A166" s="118">
        <v>20</v>
      </c>
      <c r="B166" s="80" t="s">
        <v>17</v>
      </c>
      <c r="C166" s="333" t="s">
        <v>461</v>
      </c>
      <c r="D166" s="105" t="s">
        <v>462</v>
      </c>
      <c r="E166" s="80" t="s">
        <v>402</v>
      </c>
      <c r="F166" s="80" t="s">
        <v>1182</v>
      </c>
      <c r="G166" s="66">
        <v>9</v>
      </c>
      <c r="H166" s="82">
        <v>400</v>
      </c>
      <c r="I166" s="82">
        <v>2</v>
      </c>
      <c r="J166" s="84" t="s">
        <v>40</v>
      </c>
      <c r="K166" s="86">
        <v>1</v>
      </c>
      <c r="L166" s="86">
        <v>0</v>
      </c>
      <c r="M166" s="82">
        <f>G166*H166/5</f>
        <v>720</v>
      </c>
      <c r="N166" s="82">
        <f>M166*0.15*5.5</f>
        <v>594</v>
      </c>
      <c r="O166" s="82">
        <f>M166*6.6*5.5+N166*2</f>
        <v>27324</v>
      </c>
      <c r="P166" s="82">
        <v>1</v>
      </c>
      <c r="Q166" s="82">
        <v>1</v>
      </c>
      <c r="R166" s="82">
        <f t="shared" si="31"/>
        <v>1530000</v>
      </c>
      <c r="S166" s="82">
        <f t="shared" si="30"/>
        <v>1530000</v>
      </c>
      <c r="T166" s="82">
        <f t="shared" si="37"/>
        <v>0</v>
      </c>
      <c r="U166" s="82">
        <f t="shared" si="36"/>
        <v>1530000</v>
      </c>
    </row>
    <row r="167" spans="1:21" s="42" customFormat="1" ht="20.25" customHeight="1">
      <c r="A167" s="118">
        <v>21</v>
      </c>
      <c r="B167" s="80" t="s">
        <v>46</v>
      </c>
      <c r="C167" s="333" t="s">
        <v>463</v>
      </c>
      <c r="D167" s="105" t="s">
        <v>464</v>
      </c>
      <c r="E167" s="80" t="s">
        <v>389</v>
      </c>
      <c r="F167" s="80" t="s">
        <v>1138</v>
      </c>
      <c r="G167" s="66">
        <v>19</v>
      </c>
      <c r="H167" s="82">
        <v>2200</v>
      </c>
      <c r="I167" s="82">
        <v>3</v>
      </c>
      <c r="J167" s="84" t="s">
        <v>40</v>
      </c>
      <c r="K167" s="86">
        <v>1</v>
      </c>
      <c r="L167" s="82">
        <v>0</v>
      </c>
      <c r="M167" s="82">
        <f>G167*H167*5/100</f>
        <v>2090</v>
      </c>
      <c r="N167" s="82">
        <f>M167*0.15*7</f>
        <v>2194.5</v>
      </c>
      <c r="O167" s="82">
        <f>M167*6.6*7+N167*2</f>
        <v>100947</v>
      </c>
      <c r="P167" s="82">
        <v>1</v>
      </c>
      <c r="Q167" s="82">
        <v>1</v>
      </c>
      <c r="R167" s="82">
        <f t="shared" si="31"/>
        <v>1530000</v>
      </c>
      <c r="S167" s="82">
        <f t="shared" si="30"/>
        <v>1530000</v>
      </c>
      <c r="T167" s="82">
        <f t="shared" si="37"/>
        <v>0</v>
      </c>
      <c r="U167" s="82">
        <f t="shared" si="36"/>
        <v>1530000</v>
      </c>
    </row>
    <row r="168" spans="1:21" s="42" customFormat="1" ht="20.25" customHeight="1">
      <c r="A168" s="118">
        <v>22</v>
      </c>
      <c r="B168" s="80" t="s">
        <v>17</v>
      </c>
      <c r="C168" s="333" t="s">
        <v>465</v>
      </c>
      <c r="D168" s="105" t="s">
        <v>464</v>
      </c>
      <c r="E168" s="80" t="s">
        <v>389</v>
      </c>
      <c r="F168" s="80" t="s">
        <v>1138</v>
      </c>
      <c r="G168" s="66">
        <v>19</v>
      </c>
      <c r="H168" s="82">
        <v>2200</v>
      </c>
      <c r="I168" s="82" t="s">
        <v>466</v>
      </c>
      <c r="J168" s="84" t="s">
        <v>40</v>
      </c>
      <c r="K168" s="86">
        <v>1</v>
      </c>
      <c r="L168" s="82">
        <v>0</v>
      </c>
      <c r="M168" s="82">
        <f>G168*H168/5</f>
        <v>8360</v>
      </c>
      <c r="N168" s="82">
        <f>M168*0.15*5.5</f>
        <v>6897</v>
      </c>
      <c r="O168" s="82">
        <f>M168*6.6*5.5+N168*2</f>
        <v>317262</v>
      </c>
      <c r="P168" s="82">
        <v>1</v>
      </c>
      <c r="Q168" s="82">
        <v>1</v>
      </c>
      <c r="R168" s="82">
        <f t="shared" si="31"/>
        <v>1530000</v>
      </c>
      <c r="S168" s="82">
        <f t="shared" si="30"/>
        <v>1530000</v>
      </c>
      <c r="T168" s="82">
        <f t="shared" si="37"/>
        <v>0</v>
      </c>
      <c r="U168" s="82">
        <f t="shared" si="36"/>
        <v>1530000</v>
      </c>
    </row>
    <row r="169" spans="1:21" s="42" customFormat="1" ht="20.25" customHeight="1">
      <c r="A169" s="118">
        <v>23</v>
      </c>
      <c r="B169" s="80" t="s">
        <v>17</v>
      </c>
      <c r="C169" s="333" t="s">
        <v>935</v>
      </c>
      <c r="D169" s="105" t="s">
        <v>467</v>
      </c>
      <c r="E169" s="80" t="s">
        <v>468</v>
      </c>
      <c r="F169" s="80" t="s">
        <v>1138</v>
      </c>
      <c r="G169" s="66">
        <v>10</v>
      </c>
      <c r="H169" s="82">
        <v>800</v>
      </c>
      <c r="I169" s="83">
        <v>2</v>
      </c>
      <c r="J169" s="84" t="s">
        <v>40</v>
      </c>
      <c r="K169" s="86">
        <v>1</v>
      </c>
      <c r="L169" s="86">
        <v>0</v>
      </c>
      <c r="M169" s="82">
        <f>G169*H169/5</f>
        <v>1600</v>
      </c>
      <c r="N169" s="82">
        <f aca="true" t="shared" si="38" ref="N169:N182">M169*0.15*5.5</f>
        <v>1320</v>
      </c>
      <c r="O169" s="82">
        <f>M169*6.6*5.5+N169*2</f>
        <v>60720</v>
      </c>
      <c r="P169" s="82">
        <v>1</v>
      </c>
      <c r="Q169" s="82">
        <v>1</v>
      </c>
      <c r="R169" s="82">
        <f t="shared" si="31"/>
        <v>1530000</v>
      </c>
      <c r="S169" s="82">
        <f t="shared" si="30"/>
        <v>1530000</v>
      </c>
      <c r="T169" s="82">
        <f t="shared" si="37"/>
        <v>0</v>
      </c>
      <c r="U169" s="82">
        <f t="shared" si="36"/>
        <v>1530000</v>
      </c>
    </row>
    <row r="170" spans="1:22" s="42" customFormat="1" ht="20.25" customHeight="1">
      <c r="A170" s="463">
        <v>24</v>
      </c>
      <c r="B170" s="464" t="s">
        <v>17</v>
      </c>
      <c r="C170" s="465" t="s">
        <v>469</v>
      </c>
      <c r="D170" s="466" t="s">
        <v>470</v>
      </c>
      <c r="E170" s="464" t="s">
        <v>386</v>
      </c>
      <c r="F170" s="464" t="s">
        <v>1138</v>
      </c>
      <c r="G170" s="467">
        <v>11</v>
      </c>
      <c r="H170" s="468">
        <v>7000</v>
      </c>
      <c r="I170" s="469">
        <v>2</v>
      </c>
      <c r="J170" s="470" t="s">
        <v>40</v>
      </c>
      <c r="K170" s="471">
        <v>1</v>
      </c>
      <c r="L170" s="471">
        <v>0</v>
      </c>
      <c r="M170" s="468">
        <f>G170*H170/5</f>
        <v>15400</v>
      </c>
      <c r="N170" s="468">
        <f t="shared" si="38"/>
        <v>12705</v>
      </c>
      <c r="O170" s="468">
        <f aca="true" t="shared" si="39" ref="O170:O182">M170*6.6*5.5+N170*2</f>
        <v>584430</v>
      </c>
      <c r="P170" s="468">
        <v>1</v>
      </c>
      <c r="Q170" s="468">
        <v>1</v>
      </c>
      <c r="R170" s="468">
        <f t="shared" si="31"/>
        <v>1530000</v>
      </c>
      <c r="S170" s="468">
        <f t="shared" si="30"/>
        <v>1530000</v>
      </c>
      <c r="T170" s="468">
        <f t="shared" si="37"/>
        <v>0</v>
      </c>
      <c r="U170" s="468">
        <f t="shared" si="36"/>
        <v>1530000</v>
      </c>
      <c r="V170" s="457" t="s">
        <v>1577</v>
      </c>
    </row>
    <row r="171" spans="1:21" s="42" customFormat="1" ht="20.25" customHeight="1">
      <c r="A171" s="118">
        <v>25</v>
      </c>
      <c r="B171" s="80" t="s">
        <v>17</v>
      </c>
      <c r="C171" s="333" t="s">
        <v>471</v>
      </c>
      <c r="D171" s="105" t="s">
        <v>472</v>
      </c>
      <c r="E171" s="80" t="s">
        <v>374</v>
      </c>
      <c r="F171" s="80" t="s">
        <v>1138</v>
      </c>
      <c r="G171" s="66">
        <v>17</v>
      </c>
      <c r="H171" s="82">
        <v>6000</v>
      </c>
      <c r="I171" s="83">
        <v>5</v>
      </c>
      <c r="J171" s="84" t="s">
        <v>43</v>
      </c>
      <c r="K171" s="86">
        <v>1</v>
      </c>
      <c r="L171" s="86">
        <v>0</v>
      </c>
      <c r="M171" s="82">
        <f>G171*H171/5</f>
        <v>20400</v>
      </c>
      <c r="N171" s="82">
        <f t="shared" si="38"/>
        <v>16830</v>
      </c>
      <c r="O171" s="82">
        <f t="shared" si="39"/>
        <v>774180</v>
      </c>
      <c r="P171" s="82">
        <v>1</v>
      </c>
      <c r="Q171" s="82">
        <v>1</v>
      </c>
      <c r="R171" s="82">
        <f t="shared" si="31"/>
        <v>1530000</v>
      </c>
      <c r="S171" s="82">
        <f t="shared" si="30"/>
        <v>1530000</v>
      </c>
      <c r="T171" s="82">
        <f t="shared" si="37"/>
        <v>0</v>
      </c>
      <c r="U171" s="82">
        <f t="shared" si="36"/>
        <v>1530000</v>
      </c>
    </row>
    <row r="172" spans="1:21" s="42" customFormat="1" ht="20.25" customHeight="1">
      <c r="A172" s="118">
        <v>26</v>
      </c>
      <c r="B172" s="80" t="s">
        <v>46</v>
      </c>
      <c r="C172" s="336" t="s">
        <v>949</v>
      </c>
      <c r="D172" s="262" t="s">
        <v>473</v>
      </c>
      <c r="E172" s="80" t="s">
        <v>374</v>
      </c>
      <c r="F172" s="80" t="s">
        <v>1138</v>
      </c>
      <c r="G172" s="66">
        <v>17</v>
      </c>
      <c r="H172" s="82">
        <v>900</v>
      </c>
      <c r="I172" s="82">
        <v>3</v>
      </c>
      <c r="J172" s="84" t="s">
        <v>62</v>
      </c>
      <c r="K172" s="86">
        <v>1</v>
      </c>
      <c r="L172" s="82">
        <v>0</v>
      </c>
      <c r="M172" s="82">
        <f>G172*H172*5/100</f>
        <v>765</v>
      </c>
      <c r="N172" s="82">
        <f>M172*0.15*7</f>
        <v>803.25</v>
      </c>
      <c r="O172" s="82">
        <f>M172*6.6*7+N172*2</f>
        <v>36949.5</v>
      </c>
      <c r="P172" s="82">
        <v>1</v>
      </c>
      <c r="Q172" s="82">
        <v>1</v>
      </c>
      <c r="R172" s="82">
        <f t="shared" si="31"/>
        <v>1530000</v>
      </c>
      <c r="S172" s="82">
        <f t="shared" si="30"/>
        <v>1530000</v>
      </c>
      <c r="T172" s="82">
        <f>L172*P172*Q172*R172</f>
        <v>0</v>
      </c>
      <c r="U172" s="82">
        <f t="shared" si="36"/>
        <v>1530000</v>
      </c>
    </row>
    <row r="173" spans="1:21" s="42" customFormat="1" ht="20.25" customHeight="1">
      <c r="A173" s="118">
        <v>27</v>
      </c>
      <c r="B173" s="80" t="s">
        <v>46</v>
      </c>
      <c r="C173" s="336" t="s">
        <v>950</v>
      </c>
      <c r="D173" s="262" t="s">
        <v>473</v>
      </c>
      <c r="E173" s="80" t="s">
        <v>374</v>
      </c>
      <c r="F173" s="80" t="s">
        <v>1138</v>
      </c>
      <c r="G173" s="66">
        <v>17</v>
      </c>
      <c r="H173" s="82">
        <v>900</v>
      </c>
      <c r="I173" s="82">
        <v>3</v>
      </c>
      <c r="J173" s="84" t="s">
        <v>62</v>
      </c>
      <c r="K173" s="86">
        <v>1</v>
      </c>
      <c r="L173" s="82">
        <v>0</v>
      </c>
      <c r="M173" s="82">
        <f>G173*H173*5/100</f>
        <v>765</v>
      </c>
      <c r="N173" s="82">
        <f>M173*0.15*7</f>
        <v>803.25</v>
      </c>
      <c r="O173" s="82">
        <f>M173*6.6*7+N173*2</f>
        <v>36949.5</v>
      </c>
      <c r="P173" s="82">
        <v>1</v>
      </c>
      <c r="Q173" s="82">
        <v>1</v>
      </c>
      <c r="R173" s="82">
        <f t="shared" si="31"/>
        <v>1530000</v>
      </c>
      <c r="S173" s="82">
        <f t="shared" si="30"/>
        <v>1530000</v>
      </c>
      <c r="T173" s="82">
        <f t="shared" si="37"/>
        <v>0</v>
      </c>
      <c r="U173" s="82">
        <f t="shared" si="36"/>
        <v>1530000</v>
      </c>
    </row>
    <row r="174" spans="1:21" s="42" customFormat="1" ht="20.25" customHeight="1">
      <c r="A174" s="118">
        <v>28</v>
      </c>
      <c r="B174" s="80" t="s">
        <v>46</v>
      </c>
      <c r="C174" s="336" t="s">
        <v>474</v>
      </c>
      <c r="D174" s="105" t="s">
        <v>377</v>
      </c>
      <c r="E174" s="80" t="s">
        <v>378</v>
      </c>
      <c r="F174" s="81" t="s">
        <v>1112</v>
      </c>
      <c r="G174" s="66">
        <v>20</v>
      </c>
      <c r="H174" s="82">
        <v>2400</v>
      </c>
      <c r="I174" s="82">
        <v>2</v>
      </c>
      <c r="J174" s="84" t="s">
        <v>991</v>
      </c>
      <c r="K174" s="86">
        <v>0</v>
      </c>
      <c r="L174" s="82">
        <v>1</v>
      </c>
      <c r="M174" s="82">
        <f>G174*H174*5/100</f>
        <v>2400</v>
      </c>
      <c r="N174" s="82">
        <f>M174*0.15*7</f>
        <v>2520</v>
      </c>
      <c r="O174" s="82">
        <f>M174*6.6*7+N174*2</f>
        <v>115920</v>
      </c>
      <c r="P174" s="82">
        <v>1</v>
      </c>
      <c r="Q174" s="82">
        <v>1</v>
      </c>
      <c r="R174" s="82">
        <f t="shared" si="31"/>
        <v>1530000</v>
      </c>
      <c r="S174" s="82">
        <f t="shared" si="30"/>
        <v>0</v>
      </c>
      <c r="T174" s="82">
        <f t="shared" si="37"/>
        <v>1530000</v>
      </c>
      <c r="U174" s="82">
        <f t="shared" si="36"/>
        <v>1530000</v>
      </c>
    </row>
    <row r="175" spans="1:21" s="42" customFormat="1" ht="20.25" customHeight="1">
      <c r="A175" s="118">
        <v>29</v>
      </c>
      <c r="B175" s="80" t="s">
        <v>17</v>
      </c>
      <c r="C175" s="335" t="s">
        <v>475</v>
      </c>
      <c r="D175" s="261" t="s">
        <v>476</v>
      </c>
      <c r="E175" s="80" t="s">
        <v>374</v>
      </c>
      <c r="F175" s="80" t="s">
        <v>1132</v>
      </c>
      <c r="G175" s="66">
        <v>16</v>
      </c>
      <c r="H175" s="82">
        <v>3000</v>
      </c>
      <c r="I175" s="83">
        <v>3</v>
      </c>
      <c r="J175" s="84" t="s">
        <v>40</v>
      </c>
      <c r="K175" s="86">
        <v>1</v>
      </c>
      <c r="L175" s="82">
        <v>0</v>
      </c>
      <c r="M175" s="82">
        <f>G175*H175/5</f>
        <v>9600</v>
      </c>
      <c r="N175" s="82">
        <f t="shared" si="38"/>
        <v>7920</v>
      </c>
      <c r="O175" s="82">
        <f t="shared" si="39"/>
        <v>364320</v>
      </c>
      <c r="P175" s="82">
        <v>1</v>
      </c>
      <c r="Q175" s="82">
        <v>1</v>
      </c>
      <c r="R175" s="82">
        <f t="shared" si="31"/>
        <v>1530000</v>
      </c>
      <c r="S175" s="82">
        <f t="shared" si="30"/>
        <v>1530000</v>
      </c>
      <c r="T175" s="82">
        <f t="shared" si="37"/>
        <v>0</v>
      </c>
      <c r="U175" s="82">
        <f t="shared" si="36"/>
        <v>1530000</v>
      </c>
    </row>
    <row r="176" spans="1:21" s="42" customFormat="1" ht="20.25" customHeight="1">
      <c r="A176" s="118">
        <v>30</v>
      </c>
      <c r="B176" s="80" t="s">
        <v>17</v>
      </c>
      <c r="C176" s="333" t="s">
        <v>477</v>
      </c>
      <c r="D176" s="261" t="s">
        <v>956</v>
      </c>
      <c r="E176" s="80" t="s">
        <v>374</v>
      </c>
      <c r="F176" s="80" t="s">
        <v>1138</v>
      </c>
      <c r="G176" s="66">
        <v>10</v>
      </c>
      <c r="H176" s="82">
        <v>700</v>
      </c>
      <c r="I176" s="82">
        <v>2</v>
      </c>
      <c r="J176" s="84" t="s">
        <v>62</v>
      </c>
      <c r="K176" s="86">
        <v>1</v>
      </c>
      <c r="L176" s="82">
        <v>0</v>
      </c>
      <c r="M176" s="82">
        <f>G176*H176/5</f>
        <v>1400</v>
      </c>
      <c r="N176" s="82">
        <f t="shared" si="38"/>
        <v>1155</v>
      </c>
      <c r="O176" s="82">
        <f t="shared" si="39"/>
        <v>53130</v>
      </c>
      <c r="P176" s="82">
        <v>1</v>
      </c>
      <c r="Q176" s="82">
        <v>1</v>
      </c>
      <c r="R176" s="82">
        <f t="shared" si="31"/>
        <v>1530000</v>
      </c>
      <c r="S176" s="82">
        <f t="shared" si="30"/>
        <v>1530000</v>
      </c>
      <c r="T176" s="82">
        <f>L176*P176*Q176*R176</f>
        <v>0</v>
      </c>
      <c r="U176" s="82">
        <f t="shared" si="36"/>
        <v>1530000</v>
      </c>
    </row>
    <row r="177" spans="1:21" s="42" customFormat="1" ht="20.25" customHeight="1">
      <c r="A177" s="118">
        <v>31</v>
      </c>
      <c r="B177" s="80" t="s">
        <v>17</v>
      </c>
      <c r="C177" s="335" t="s">
        <v>478</v>
      </c>
      <c r="D177" s="261" t="s">
        <v>930</v>
      </c>
      <c r="E177" s="80" t="s">
        <v>402</v>
      </c>
      <c r="F177" s="80" t="s">
        <v>1138</v>
      </c>
      <c r="G177" s="66">
        <v>2</v>
      </c>
      <c r="H177" s="82">
        <v>1500</v>
      </c>
      <c r="I177" s="83">
        <v>1</v>
      </c>
      <c r="J177" s="84" t="s">
        <v>62</v>
      </c>
      <c r="K177" s="86">
        <v>1</v>
      </c>
      <c r="L177" s="86">
        <v>0</v>
      </c>
      <c r="M177" s="82">
        <f>(7*H177/5)+(17*H177*5/100)</f>
        <v>3375</v>
      </c>
      <c r="N177" s="82">
        <f>(7*H177/5*0.15*5.5)+(17*H177*5/100*0.15*7)</f>
        <v>3071.25</v>
      </c>
      <c r="O177" s="82">
        <f>((H177*7/5*6.6*5.5)+(H177*7/5*5.5*0.15*2))+((H177*17*5/100*6.6*7)+(H177*17*5/100*0.15*7*2))</f>
        <v>141277.5</v>
      </c>
      <c r="P177" s="82">
        <v>1</v>
      </c>
      <c r="Q177" s="82">
        <v>1</v>
      </c>
      <c r="R177" s="82">
        <f t="shared" si="31"/>
        <v>1530000</v>
      </c>
      <c r="S177" s="82">
        <f t="shared" si="30"/>
        <v>1530000</v>
      </c>
      <c r="T177" s="82">
        <f t="shared" si="37"/>
        <v>0</v>
      </c>
      <c r="U177" s="82">
        <f t="shared" si="36"/>
        <v>1530000</v>
      </c>
    </row>
    <row r="178" spans="1:21" s="42" customFormat="1" ht="20.25" customHeight="1">
      <c r="A178" s="118">
        <v>32</v>
      </c>
      <c r="B178" s="80" t="s">
        <v>17</v>
      </c>
      <c r="C178" s="335" t="s">
        <v>479</v>
      </c>
      <c r="D178" s="261" t="s">
        <v>480</v>
      </c>
      <c r="E178" s="80" t="s">
        <v>402</v>
      </c>
      <c r="F178" s="80" t="s">
        <v>1138</v>
      </c>
      <c r="G178" s="66">
        <v>14</v>
      </c>
      <c r="H178" s="82">
        <v>750</v>
      </c>
      <c r="I178" s="83">
        <v>3</v>
      </c>
      <c r="J178" s="84" t="s">
        <v>21</v>
      </c>
      <c r="K178" s="86">
        <v>1</v>
      </c>
      <c r="L178" s="86">
        <v>0</v>
      </c>
      <c r="M178" s="82">
        <f>G178*H178/5</f>
        <v>2100</v>
      </c>
      <c r="N178" s="82">
        <f t="shared" si="38"/>
        <v>1732.5</v>
      </c>
      <c r="O178" s="82">
        <f t="shared" si="39"/>
        <v>79695</v>
      </c>
      <c r="P178" s="82">
        <v>1</v>
      </c>
      <c r="Q178" s="82">
        <v>1</v>
      </c>
      <c r="R178" s="82">
        <f t="shared" si="31"/>
        <v>1530000</v>
      </c>
      <c r="S178" s="82">
        <f t="shared" si="30"/>
        <v>1530000</v>
      </c>
      <c r="T178" s="82">
        <f t="shared" si="37"/>
        <v>0</v>
      </c>
      <c r="U178" s="82">
        <f t="shared" si="36"/>
        <v>1530000</v>
      </c>
    </row>
    <row r="179" spans="1:21" s="42" customFormat="1" ht="20.25" customHeight="1">
      <c r="A179" s="118">
        <v>33</v>
      </c>
      <c r="B179" s="80" t="s">
        <v>100</v>
      </c>
      <c r="C179" s="337" t="s">
        <v>481</v>
      </c>
      <c r="D179" s="261" t="s">
        <v>482</v>
      </c>
      <c r="E179" s="80" t="s">
        <v>483</v>
      </c>
      <c r="F179" s="80" t="s">
        <v>1138</v>
      </c>
      <c r="G179" s="66">
        <v>22</v>
      </c>
      <c r="H179" s="82">
        <v>5600</v>
      </c>
      <c r="I179" s="83">
        <v>6</v>
      </c>
      <c r="J179" s="84" t="s">
        <v>25</v>
      </c>
      <c r="K179" s="86">
        <v>1</v>
      </c>
      <c r="L179" s="86">
        <v>0</v>
      </c>
      <c r="M179" s="82">
        <f>G179*H179/5</f>
        <v>24640</v>
      </c>
      <c r="N179" s="82">
        <f t="shared" si="38"/>
        <v>20328</v>
      </c>
      <c r="O179" s="82">
        <f t="shared" si="39"/>
        <v>935088</v>
      </c>
      <c r="P179" s="82">
        <v>1</v>
      </c>
      <c r="Q179" s="82">
        <v>1</v>
      </c>
      <c r="R179" s="82">
        <f t="shared" si="31"/>
        <v>1530000</v>
      </c>
      <c r="S179" s="82">
        <f t="shared" si="30"/>
        <v>1530000</v>
      </c>
      <c r="T179" s="82">
        <f t="shared" si="37"/>
        <v>0</v>
      </c>
      <c r="U179" s="82">
        <f t="shared" si="36"/>
        <v>1530000</v>
      </c>
    </row>
    <row r="180" spans="1:21" s="42" customFormat="1" ht="20.25" customHeight="1">
      <c r="A180" s="118">
        <v>34</v>
      </c>
      <c r="B180" s="80" t="s">
        <v>100</v>
      </c>
      <c r="C180" s="337" t="s">
        <v>484</v>
      </c>
      <c r="D180" s="261" t="s">
        <v>482</v>
      </c>
      <c r="E180" s="80" t="s">
        <v>483</v>
      </c>
      <c r="F180" s="80" t="s">
        <v>1138</v>
      </c>
      <c r="G180" s="66">
        <v>22</v>
      </c>
      <c r="H180" s="82">
        <v>5600</v>
      </c>
      <c r="I180" s="83">
        <v>6</v>
      </c>
      <c r="J180" s="84" t="s">
        <v>62</v>
      </c>
      <c r="K180" s="86">
        <v>1</v>
      </c>
      <c r="L180" s="86">
        <v>0</v>
      </c>
      <c r="M180" s="82">
        <f>(7*H180/5)+(15*H180*5/100)</f>
        <v>12040</v>
      </c>
      <c r="N180" s="82">
        <f>(7*H180/5*0.15*5.5)+(15*H180*5/100*0.15*7)</f>
        <v>10878</v>
      </c>
      <c r="O180" s="82">
        <f>((H180*7/5*6.6*5.5)+(H180*7/5*5.5*0.15*2))+((H180*15*5/100*6.6*7)+(H180*15*5/100*0.15*7*2))</f>
        <v>500388</v>
      </c>
      <c r="P180" s="82">
        <v>1</v>
      </c>
      <c r="Q180" s="82">
        <v>1</v>
      </c>
      <c r="R180" s="82">
        <f t="shared" si="31"/>
        <v>1530000</v>
      </c>
      <c r="S180" s="82">
        <f t="shared" si="30"/>
        <v>1530000</v>
      </c>
      <c r="T180" s="82">
        <f t="shared" si="37"/>
        <v>0</v>
      </c>
      <c r="U180" s="82">
        <f t="shared" si="36"/>
        <v>1530000</v>
      </c>
    </row>
    <row r="181" spans="1:21" s="42" customFormat="1" ht="20.25" customHeight="1">
      <c r="A181" s="118">
        <v>35</v>
      </c>
      <c r="B181" s="80" t="s">
        <v>17</v>
      </c>
      <c r="C181" s="335" t="s">
        <v>485</v>
      </c>
      <c r="D181" s="261" t="s">
        <v>486</v>
      </c>
      <c r="E181" s="80" t="s">
        <v>389</v>
      </c>
      <c r="F181" s="80" t="s">
        <v>1138</v>
      </c>
      <c r="G181" s="66">
        <v>8</v>
      </c>
      <c r="H181" s="82">
        <v>900</v>
      </c>
      <c r="I181" s="83">
        <v>2</v>
      </c>
      <c r="J181" s="84" t="s">
        <v>40</v>
      </c>
      <c r="K181" s="86">
        <v>1</v>
      </c>
      <c r="L181" s="86">
        <v>0</v>
      </c>
      <c r="M181" s="82">
        <f>(7*H181/5)+(15*H181*5/100)</f>
        <v>1935</v>
      </c>
      <c r="N181" s="82">
        <f>(7*H181/5*0.15*5.5)+(15*H181*5/100*0.15*7)</f>
        <v>1748.25</v>
      </c>
      <c r="O181" s="82">
        <f>((H181*7/5*6.6*5.5)+(H181*7/5*5.5*0.15*2))+((H181*15*5/100*6.6*7)+(H181*15*5/100*0.15*7*2))</f>
        <v>80419.5</v>
      </c>
      <c r="P181" s="82">
        <v>1</v>
      </c>
      <c r="Q181" s="82">
        <v>1</v>
      </c>
      <c r="R181" s="82">
        <f t="shared" si="31"/>
        <v>1530000</v>
      </c>
      <c r="S181" s="82">
        <f t="shared" si="30"/>
        <v>1530000</v>
      </c>
      <c r="T181" s="82">
        <f>L181*P181*Q181*R181</f>
        <v>0</v>
      </c>
      <c r="U181" s="82">
        <f t="shared" si="36"/>
        <v>1530000</v>
      </c>
    </row>
    <row r="182" spans="1:21" s="42" customFormat="1" ht="27" customHeight="1">
      <c r="A182" s="118">
        <v>36</v>
      </c>
      <c r="B182" s="80" t="s">
        <v>46</v>
      </c>
      <c r="C182" s="336" t="s">
        <v>804</v>
      </c>
      <c r="D182" s="105" t="s">
        <v>487</v>
      </c>
      <c r="E182" s="80" t="s">
        <v>384</v>
      </c>
      <c r="F182" s="80" t="s">
        <v>1138</v>
      </c>
      <c r="G182" s="66">
        <v>18</v>
      </c>
      <c r="H182" s="82">
        <v>900</v>
      </c>
      <c r="I182" s="82">
        <v>3</v>
      </c>
      <c r="J182" s="84" t="s">
        <v>40</v>
      </c>
      <c r="K182" s="86">
        <v>1</v>
      </c>
      <c r="L182" s="82">
        <v>0</v>
      </c>
      <c r="M182" s="82">
        <f>G182*H182/5</f>
        <v>3240</v>
      </c>
      <c r="N182" s="82">
        <f t="shared" si="38"/>
        <v>2673</v>
      </c>
      <c r="O182" s="82">
        <f t="shared" si="39"/>
        <v>122958</v>
      </c>
      <c r="P182" s="82">
        <v>1</v>
      </c>
      <c r="Q182" s="82">
        <v>1</v>
      </c>
      <c r="R182" s="82">
        <f t="shared" si="31"/>
        <v>1530000</v>
      </c>
      <c r="S182" s="82">
        <f t="shared" si="30"/>
        <v>1530000</v>
      </c>
      <c r="T182" s="82">
        <f t="shared" si="37"/>
        <v>0</v>
      </c>
      <c r="U182" s="82">
        <f t="shared" si="36"/>
        <v>1530000</v>
      </c>
    </row>
    <row r="183" spans="1:21" s="42" customFormat="1" ht="28.5" customHeight="1">
      <c r="A183" s="118">
        <v>37</v>
      </c>
      <c r="B183" s="80" t="s">
        <v>46</v>
      </c>
      <c r="C183" s="336" t="s">
        <v>805</v>
      </c>
      <c r="D183" s="105" t="s">
        <v>487</v>
      </c>
      <c r="E183" s="80" t="s">
        <v>384</v>
      </c>
      <c r="F183" s="80" t="s">
        <v>1138</v>
      </c>
      <c r="G183" s="66">
        <v>18</v>
      </c>
      <c r="H183" s="82">
        <v>900</v>
      </c>
      <c r="I183" s="82">
        <v>3</v>
      </c>
      <c r="J183" s="84" t="s">
        <v>40</v>
      </c>
      <c r="K183" s="86">
        <v>1</v>
      </c>
      <c r="L183" s="82">
        <v>0</v>
      </c>
      <c r="M183" s="82">
        <f aca="true" t="shared" si="40" ref="M183:M190">G183*H183*5/100</f>
        <v>810</v>
      </c>
      <c r="N183" s="82">
        <f aca="true" t="shared" si="41" ref="N183:N192">M183*0.15*7</f>
        <v>850.5</v>
      </c>
      <c r="O183" s="82">
        <f aca="true" t="shared" si="42" ref="O183:O190">M183*6.6*7+N183*2</f>
        <v>39123</v>
      </c>
      <c r="P183" s="82">
        <v>1</v>
      </c>
      <c r="Q183" s="82">
        <v>1</v>
      </c>
      <c r="R183" s="82">
        <f t="shared" si="31"/>
        <v>1530000</v>
      </c>
      <c r="S183" s="82">
        <f t="shared" si="30"/>
        <v>1530000</v>
      </c>
      <c r="T183" s="82">
        <f t="shared" si="37"/>
        <v>0</v>
      </c>
      <c r="U183" s="82">
        <f t="shared" si="36"/>
        <v>1530000</v>
      </c>
    </row>
    <row r="184" spans="1:21" s="42" customFormat="1" ht="30.75" customHeight="1">
      <c r="A184" s="118">
        <v>38</v>
      </c>
      <c r="B184" s="80" t="s">
        <v>46</v>
      </c>
      <c r="C184" s="336" t="s">
        <v>806</v>
      </c>
      <c r="D184" s="105" t="s">
        <v>487</v>
      </c>
      <c r="E184" s="80" t="s">
        <v>384</v>
      </c>
      <c r="F184" s="80" t="s">
        <v>1138</v>
      </c>
      <c r="G184" s="66">
        <v>18</v>
      </c>
      <c r="H184" s="82">
        <v>900</v>
      </c>
      <c r="I184" s="82">
        <v>3</v>
      </c>
      <c r="J184" s="84" t="s">
        <v>40</v>
      </c>
      <c r="K184" s="86">
        <v>1</v>
      </c>
      <c r="L184" s="82">
        <v>0</v>
      </c>
      <c r="M184" s="82">
        <f t="shared" si="40"/>
        <v>810</v>
      </c>
      <c r="N184" s="82">
        <f t="shared" si="41"/>
        <v>850.5</v>
      </c>
      <c r="O184" s="82">
        <f t="shared" si="42"/>
        <v>39123</v>
      </c>
      <c r="P184" s="82">
        <v>1</v>
      </c>
      <c r="Q184" s="82">
        <v>1</v>
      </c>
      <c r="R184" s="82">
        <f t="shared" si="31"/>
        <v>1530000</v>
      </c>
      <c r="S184" s="82">
        <f t="shared" si="30"/>
        <v>1530000</v>
      </c>
      <c r="T184" s="82">
        <f t="shared" si="37"/>
        <v>0</v>
      </c>
      <c r="U184" s="82">
        <f t="shared" si="36"/>
        <v>1530000</v>
      </c>
    </row>
    <row r="185" spans="1:21" s="42" customFormat="1" ht="20.25" customHeight="1">
      <c r="A185" s="118">
        <v>39</v>
      </c>
      <c r="B185" s="80" t="s">
        <v>46</v>
      </c>
      <c r="C185" s="333" t="s">
        <v>488</v>
      </c>
      <c r="D185" s="105" t="s">
        <v>383</v>
      </c>
      <c r="E185" s="80" t="s">
        <v>384</v>
      </c>
      <c r="F185" s="81" t="s">
        <v>1112</v>
      </c>
      <c r="G185" s="66">
        <v>17</v>
      </c>
      <c r="H185" s="82">
        <v>1200</v>
      </c>
      <c r="I185" s="82">
        <v>2</v>
      </c>
      <c r="J185" s="84" t="s">
        <v>25</v>
      </c>
      <c r="K185" s="86">
        <v>1</v>
      </c>
      <c r="L185" s="82">
        <v>0</v>
      </c>
      <c r="M185" s="82">
        <f t="shared" si="40"/>
        <v>1020</v>
      </c>
      <c r="N185" s="82">
        <f t="shared" si="41"/>
        <v>1071</v>
      </c>
      <c r="O185" s="82">
        <f t="shared" si="42"/>
        <v>49266</v>
      </c>
      <c r="P185" s="82">
        <v>1</v>
      </c>
      <c r="Q185" s="82">
        <v>1</v>
      </c>
      <c r="R185" s="82">
        <f t="shared" si="31"/>
        <v>1530000</v>
      </c>
      <c r="S185" s="82">
        <f t="shared" si="30"/>
        <v>1530000</v>
      </c>
      <c r="T185" s="82">
        <f t="shared" si="37"/>
        <v>0</v>
      </c>
      <c r="U185" s="82">
        <f t="shared" si="36"/>
        <v>1530000</v>
      </c>
    </row>
    <row r="186" spans="1:21" s="42" customFormat="1" ht="20.25" customHeight="1">
      <c r="A186" s="118">
        <v>40</v>
      </c>
      <c r="B186" s="80" t="s">
        <v>46</v>
      </c>
      <c r="C186" s="333" t="s">
        <v>489</v>
      </c>
      <c r="D186" s="105" t="s">
        <v>383</v>
      </c>
      <c r="E186" s="80" t="s">
        <v>384</v>
      </c>
      <c r="F186" s="81" t="s">
        <v>1112</v>
      </c>
      <c r="G186" s="66">
        <v>17</v>
      </c>
      <c r="H186" s="82">
        <v>1200</v>
      </c>
      <c r="I186" s="82">
        <v>2</v>
      </c>
      <c r="J186" s="84" t="s">
        <v>25</v>
      </c>
      <c r="K186" s="86">
        <v>1</v>
      </c>
      <c r="L186" s="82">
        <v>0</v>
      </c>
      <c r="M186" s="82">
        <f t="shared" si="40"/>
        <v>1020</v>
      </c>
      <c r="N186" s="82">
        <f t="shared" si="41"/>
        <v>1071</v>
      </c>
      <c r="O186" s="82">
        <f t="shared" si="42"/>
        <v>49266</v>
      </c>
      <c r="P186" s="82">
        <v>1</v>
      </c>
      <c r="Q186" s="82">
        <v>1</v>
      </c>
      <c r="R186" s="82">
        <f t="shared" si="31"/>
        <v>1530000</v>
      </c>
      <c r="S186" s="82">
        <f t="shared" si="30"/>
        <v>1530000</v>
      </c>
      <c r="T186" s="82">
        <f t="shared" si="37"/>
        <v>0</v>
      </c>
      <c r="U186" s="82">
        <f t="shared" si="36"/>
        <v>1530000</v>
      </c>
    </row>
    <row r="187" spans="1:21" s="42" customFormat="1" ht="20.25" customHeight="1">
      <c r="A187" s="118">
        <v>41</v>
      </c>
      <c r="B187" s="80" t="s">
        <v>46</v>
      </c>
      <c r="C187" s="333" t="s">
        <v>490</v>
      </c>
      <c r="D187" s="105" t="s">
        <v>383</v>
      </c>
      <c r="E187" s="80" t="s">
        <v>384</v>
      </c>
      <c r="F187" s="81" t="s">
        <v>1112</v>
      </c>
      <c r="G187" s="66">
        <v>21</v>
      </c>
      <c r="H187" s="82">
        <v>1200</v>
      </c>
      <c r="I187" s="82">
        <v>2</v>
      </c>
      <c r="J187" s="84" t="s">
        <v>40</v>
      </c>
      <c r="K187" s="86">
        <v>1</v>
      </c>
      <c r="L187" s="82">
        <v>0</v>
      </c>
      <c r="M187" s="82">
        <f t="shared" si="40"/>
        <v>1260</v>
      </c>
      <c r="N187" s="82">
        <f t="shared" si="41"/>
        <v>1323</v>
      </c>
      <c r="O187" s="82">
        <f t="shared" si="42"/>
        <v>60858</v>
      </c>
      <c r="P187" s="82">
        <v>1</v>
      </c>
      <c r="Q187" s="82">
        <v>1</v>
      </c>
      <c r="R187" s="82">
        <f t="shared" si="31"/>
        <v>1530000</v>
      </c>
      <c r="S187" s="82">
        <f t="shared" si="30"/>
        <v>1530000</v>
      </c>
      <c r="T187" s="82">
        <f t="shared" si="37"/>
        <v>0</v>
      </c>
      <c r="U187" s="82">
        <f t="shared" si="36"/>
        <v>1530000</v>
      </c>
    </row>
    <row r="188" spans="1:21" s="42" customFormat="1" ht="20.25" customHeight="1">
      <c r="A188" s="118">
        <v>42</v>
      </c>
      <c r="B188" s="80" t="s">
        <v>46</v>
      </c>
      <c r="C188" s="333" t="s">
        <v>491</v>
      </c>
      <c r="D188" s="105" t="s">
        <v>383</v>
      </c>
      <c r="E188" s="80" t="s">
        <v>384</v>
      </c>
      <c r="F188" s="81" t="s">
        <v>1112</v>
      </c>
      <c r="G188" s="66">
        <v>21</v>
      </c>
      <c r="H188" s="82">
        <v>1200</v>
      </c>
      <c r="I188" s="82">
        <v>2</v>
      </c>
      <c r="J188" s="84" t="s">
        <v>40</v>
      </c>
      <c r="K188" s="86">
        <v>1</v>
      </c>
      <c r="L188" s="82">
        <v>0</v>
      </c>
      <c r="M188" s="82">
        <f t="shared" si="40"/>
        <v>1260</v>
      </c>
      <c r="N188" s="82">
        <f t="shared" si="41"/>
        <v>1323</v>
      </c>
      <c r="O188" s="82">
        <f t="shared" si="42"/>
        <v>60858</v>
      </c>
      <c r="P188" s="82">
        <v>1</v>
      </c>
      <c r="Q188" s="82">
        <v>1</v>
      </c>
      <c r="R188" s="82">
        <f t="shared" si="31"/>
        <v>1530000</v>
      </c>
      <c r="S188" s="82">
        <f t="shared" si="30"/>
        <v>1530000</v>
      </c>
      <c r="T188" s="82">
        <f t="shared" si="37"/>
        <v>0</v>
      </c>
      <c r="U188" s="82">
        <f t="shared" si="36"/>
        <v>1530000</v>
      </c>
    </row>
    <row r="189" spans="1:21" s="42" customFormat="1" ht="20.25" customHeight="1">
      <c r="A189" s="118">
        <v>43</v>
      </c>
      <c r="B189" s="80" t="s">
        <v>46</v>
      </c>
      <c r="C189" s="333" t="s">
        <v>492</v>
      </c>
      <c r="D189" s="105" t="s">
        <v>383</v>
      </c>
      <c r="E189" s="80" t="s">
        <v>384</v>
      </c>
      <c r="F189" s="81" t="s">
        <v>1112</v>
      </c>
      <c r="G189" s="66">
        <v>24</v>
      </c>
      <c r="H189" s="82">
        <v>1200</v>
      </c>
      <c r="I189" s="82">
        <v>3</v>
      </c>
      <c r="J189" s="84" t="s">
        <v>40</v>
      </c>
      <c r="K189" s="86">
        <v>1</v>
      </c>
      <c r="L189" s="82">
        <v>0</v>
      </c>
      <c r="M189" s="82">
        <f t="shared" si="40"/>
        <v>1440</v>
      </c>
      <c r="N189" s="82">
        <f t="shared" si="41"/>
        <v>1512</v>
      </c>
      <c r="O189" s="82">
        <f t="shared" si="42"/>
        <v>69552</v>
      </c>
      <c r="P189" s="82">
        <v>1</v>
      </c>
      <c r="Q189" s="82">
        <v>1</v>
      </c>
      <c r="R189" s="82">
        <f t="shared" si="31"/>
        <v>1530000</v>
      </c>
      <c r="S189" s="82">
        <f t="shared" si="30"/>
        <v>1530000</v>
      </c>
      <c r="T189" s="82">
        <f t="shared" si="37"/>
        <v>0</v>
      </c>
      <c r="U189" s="82">
        <f t="shared" si="36"/>
        <v>1530000</v>
      </c>
    </row>
    <row r="190" spans="1:21" s="42" customFormat="1" ht="20.25" customHeight="1">
      <c r="A190" s="118">
        <v>44</v>
      </c>
      <c r="B190" s="80" t="s">
        <v>1034</v>
      </c>
      <c r="C190" s="333" t="s">
        <v>493</v>
      </c>
      <c r="D190" s="105" t="s">
        <v>383</v>
      </c>
      <c r="E190" s="80" t="s">
        <v>384</v>
      </c>
      <c r="F190" s="81" t="s">
        <v>1112</v>
      </c>
      <c r="G190" s="66">
        <v>5</v>
      </c>
      <c r="H190" s="82">
        <v>2000</v>
      </c>
      <c r="I190" s="82">
        <v>2</v>
      </c>
      <c r="J190" s="84" t="s">
        <v>40</v>
      </c>
      <c r="K190" s="86">
        <v>1</v>
      </c>
      <c r="L190" s="82">
        <v>0</v>
      </c>
      <c r="M190" s="82">
        <f t="shared" si="40"/>
        <v>500</v>
      </c>
      <c r="N190" s="82">
        <f t="shared" si="41"/>
        <v>525</v>
      </c>
      <c r="O190" s="82">
        <f t="shared" si="42"/>
        <v>24150</v>
      </c>
      <c r="P190" s="82">
        <v>1</v>
      </c>
      <c r="Q190" s="82">
        <v>1</v>
      </c>
      <c r="R190" s="82">
        <f t="shared" si="31"/>
        <v>1530000</v>
      </c>
      <c r="S190" s="82">
        <f t="shared" si="30"/>
        <v>1530000</v>
      </c>
      <c r="T190" s="82">
        <f t="shared" si="37"/>
        <v>0</v>
      </c>
      <c r="U190" s="82">
        <f t="shared" si="36"/>
        <v>1530000</v>
      </c>
    </row>
    <row r="191" spans="1:21" s="42" customFormat="1" ht="29.25" customHeight="1">
      <c r="A191" s="118">
        <v>45</v>
      </c>
      <c r="B191" s="80" t="s">
        <v>46</v>
      </c>
      <c r="C191" s="335" t="s">
        <v>1442</v>
      </c>
      <c r="D191" s="261" t="s">
        <v>494</v>
      </c>
      <c r="E191" s="80" t="s">
        <v>495</v>
      </c>
      <c r="F191" s="80" t="s">
        <v>1138</v>
      </c>
      <c r="G191" s="66">
        <v>22</v>
      </c>
      <c r="H191" s="82">
        <v>3000</v>
      </c>
      <c r="I191" s="83">
        <v>2</v>
      </c>
      <c r="J191" s="84" t="s">
        <v>62</v>
      </c>
      <c r="K191" s="86">
        <v>1</v>
      </c>
      <c r="L191" s="82">
        <v>0</v>
      </c>
      <c r="M191" s="82">
        <f>G191*H191/5</f>
        <v>13200</v>
      </c>
      <c r="N191" s="82">
        <f t="shared" si="41"/>
        <v>13860</v>
      </c>
      <c r="O191" s="82">
        <f>M191*6.6*7</f>
        <v>609840</v>
      </c>
      <c r="P191" s="82">
        <v>1</v>
      </c>
      <c r="Q191" s="82">
        <v>1</v>
      </c>
      <c r="R191" s="82">
        <f t="shared" si="31"/>
        <v>1530000</v>
      </c>
      <c r="S191" s="82">
        <f t="shared" si="30"/>
        <v>1530000</v>
      </c>
      <c r="T191" s="82">
        <f t="shared" si="37"/>
        <v>0</v>
      </c>
      <c r="U191" s="82">
        <f t="shared" si="36"/>
        <v>1530000</v>
      </c>
    </row>
    <row r="192" spans="1:21" s="42" customFormat="1" ht="30" customHeight="1">
      <c r="A192" s="118">
        <v>46</v>
      </c>
      <c r="B192" s="80" t="s">
        <v>17</v>
      </c>
      <c r="C192" s="335" t="s">
        <v>496</v>
      </c>
      <c r="D192" s="261" t="s">
        <v>494</v>
      </c>
      <c r="E192" s="80" t="s">
        <v>495</v>
      </c>
      <c r="F192" s="80" t="s">
        <v>1138</v>
      </c>
      <c r="G192" s="66">
        <v>22</v>
      </c>
      <c r="H192" s="82">
        <v>3000</v>
      </c>
      <c r="I192" s="83">
        <v>2</v>
      </c>
      <c r="J192" s="84" t="s">
        <v>62</v>
      </c>
      <c r="K192" s="86">
        <v>1</v>
      </c>
      <c r="L192" s="82">
        <v>0</v>
      </c>
      <c r="M192" s="82">
        <f>G192*H192*5/100</f>
        <v>3300</v>
      </c>
      <c r="N192" s="82">
        <f t="shared" si="41"/>
        <v>3465</v>
      </c>
      <c r="O192" s="82">
        <f>M192*6.6*7+N192*2</f>
        <v>159390</v>
      </c>
      <c r="P192" s="82">
        <v>1</v>
      </c>
      <c r="Q192" s="82">
        <v>1</v>
      </c>
      <c r="R192" s="82">
        <f t="shared" si="31"/>
        <v>1530000</v>
      </c>
      <c r="S192" s="82">
        <f t="shared" si="30"/>
        <v>1530000</v>
      </c>
      <c r="T192" s="82">
        <f t="shared" si="37"/>
        <v>0</v>
      </c>
      <c r="U192" s="82">
        <f t="shared" si="36"/>
        <v>1530000</v>
      </c>
    </row>
    <row r="193" spans="1:21" s="42" customFormat="1" ht="20.25" customHeight="1">
      <c r="A193" s="118">
        <v>47</v>
      </c>
      <c r="B193" s="80" t="s">
        <v>100</v>
      </c>
      <c r="C193" s="333" t="s">
        <v>497</v>
      </c>
      <c r="D193" s="105" t="s">
        <v>498</v>
      </c>
      <c r="E193" s="80" t="s">
        <v>384</v>
      </c>
      <c r="F193" s="80" t="s">
        <v>1138</v>
      </c>
      <c r="G193" s="66">
        <v>26</v>
      </c>
      <c r="H193" s="82">
        <v>3000</v>
      </c>
      <c r="I193" s="82">
        <v>4</v>
      </c>
      <c r="J193" s="84" t="s">
        <v>43</v>
      </c>
      <c r="K193" s="86">
        <v>1</v>
      </c>
      <c r="L193" s="82">
        <v>0</v>
      </c>
      <c r="M193" s="82">
        <f>G193*H193/5</f>
        <v>15600</v>
      </c>
      <c r="N193" s="82">
        <f>M193*0.15*5.5</f>
        <v>12870</v>
      </c>
      <c r="O193" s="82">
        <f aca="true" t="shared" si="43" ref="O193:O202">M193*6.6*5.5+N193*2</f>
        <v>592020</v>
      </c>
      <c r="P193" s="82">
        <v>1</v>
      </c>
      <c r="Q193" s="82">
        <v>1</v>
      </c>
      <c r="R193" s="82">
        <f t="shared" si="31"/>
        <v>1530000</v>
      </c>
      <c r="S193" s="82">
        <f t="shared" si="30"/>
        <v>1530000</v>
      </c>
      <c r="T193" s="82">
        <f t="shared" si="37"/>
        <v>0</v>
      </c>
      <c r="U193" s="82">
        <f t="shared" si="36"/>
        <v>1530000</v>
      </c>
    </row>
    <row r="194" spans="1:21" s="42" customFormat="1" ht="20.25" customHeight="1">
      <c r="A194" s="118">
        <v>48</v>
      </c>
      <c r="B194" s="80" t="s">
        <v>100</v>
      </c>
      <c r="C194" s="333" t="s">
        <v>499</v>
      </c>
      <c r="D194" s="105" t="s">
        <v>498</v>
      </c>
      <c r="E194" s="80" t="s">
        <v>384</v>
      </c>
      <c r="F194" s="80" t="s">
        <v>1138</v>
      </c>
      <c r="G194" s="66">
        <v>26</v>
      </c>
      <c r="H194" s="82">
        <v>3000</v>
      </c>
      <c r="I194" s="82">
        <v>3</v>
      </c>
      <c r="J194" s="84" t="s">
        <v>25</v>
      </c>
      <c r="K194" s="86">
        <v>1</v>
      </c>
      <c r="L194" s="82">
        <v>0</v>
      </c>
      <c r="M194" s="82">
        <f>(8*H194/5)+(18*H194*5/100)</f>
        <v>7500</v>
      </c>
      <c r="N194" s="82">
        <f>(8*H194/5*0.15*5.5)+(18*H194*5/100*0.15*7)</f>
        <v>6795</v>
      </c>
      <c r="O194" s="82">
        <f>((H194*8/5*6.6*5.5)+(H194*8/5*5.5*0.15*2))+((H194*18*5/100*6.6*7)+(H194*18*5/100*0.15*7*2))</f>
        <v>312570</v>
      </c>
      <c r="P194" s="82">
        <v>1</v>
      </c>
      <c r="Q194" s="82">
        <v>1</v>
      </c>
      <c r="R194" s="82">
        <f t="shared" si="31"/>
        <v>1530000</v>
      </c>
      <c r="S194" s="82">
        <f t="shared" si="30"/>
        <v>1530000</v>
      </c>
      <c r="T194" s="82">
        <f t="shared" si="37"/>
        <v>0</v>
      </c>
      <c r="U194" s="82">
        <f t="shared" si="36"/>
        <v>1530000</v>
      </c>
    </row>
    <row r="195" spans="1:21" s="42" customFormat="1" ht="20.25" customHeight="1">
      <c r="A195" s="118">
        <v>49</v>
      </c>
      <c r="B195" s="80" t="s">
        <v>17</v>
      </c>
      <c r="C195" s="336" t="s">
        <v>807</v>
      </c>
      <c r="D195" s="262" t="s">
        <v>500</v>
      </c>
      <c r="E195" s="80" t="s">
        <v>483</v>
      </c>
      <c r="F195" s="80" t="s">
        <v>1138</v>
      </c>
      <c r="G195" s="66">
        <v>13</v>
      </c>
      <c r="H195" s="82">
        <v>700</v>
      </c>
      <c r="I195" s="82">
        <v>2</v>
      </c>
      <c r="J195" s="84" t="s">
        <v>40</v>
      </c>
      <c r="K195" s="86">
        <v>1</v>
      </c>
      <c r="L195" s="82">
        <v>0</v>
      </c>
      <c r="M195" s="82">
        <f aca="true" t="shared" si="44" ref="M195:M202">G195*H195/5</f>
        <v>1820</v>
      </c>
      <c r="N195" s="82">
        <f>M195*0.15*5.5</f>
        <v>1501.5</v>
      </c>
      <c r="O195" s="82">
        <f>M195*6.6*5.5+N195*2</f>
        <v>69069</v>
      </c>
      <c r="P195" s="82">
        <v>1</v>
      </c>
      <c r="Q195" s="82">
        <v>1</v>
      </c>
      <c r="R195" s="82">
        <f t="shared" si="31"/>
        <v>1530000</v>
      </c>
      <c r="S195" s="82">
        <f t="shared" si="30"/>
        <v>1530000</v>
      </c>
      <c r="T195" s="82">
        <f t="shared" si="37"/>
        <v>0</v>
      </c>
      <c r="U195" s="82">
        <f t="shared" si="36"/>
        <v>1530000</v>
      </c>
    </row>
    <row r="196" spans="1:21" s="42" customFormat="1" ht="20.25" customHeight="1">
      <c r="A196" s="118">
        <v>50</v>
      </c>
      <c r="B196" s="80" t="s">
        <v>17</v>
      </c>
      <c r="C196" s="336" t="s">
        <v>501</v>
      </c>
      <c r="D196" s="105" t="s">
        <v>502</v>
      </c>
      <c r="E196" s="80" t="s">
        <v>378</v>
      </c>
      <c r="F196" s="80" t="s">
        <v>1130</v>
      </c>
      <c r="G196" s="66">
        <v>11</v>
      </c>
      <c r="H196" s="82">
        <v>800</v>
      </c>
      <c r="I196" s="82">
        <v>2</v>
      </c>
      <c r="J196" s="84" t="s">
        <v>77</v>
      </c>
      <c r="K196" s="86">
        <v>1</v>
      </c>
      <c r="L196" s="82">
        <v>0</v>
      </c>
      <c r="M196" s="82">
        <f t="shared" si="44"/>
        <v>1760</v>
      </c>
      <c r="N196" s="82">
        <f aca="true" t="shared" si="45" ref="N196:N202">M196*0.15*5.5</f>
        <v>1452</v>
      </c>
      <c r="O196" s="82">
        <f t="shared" si="43"/>
        <v>66792</v>
      </c>
      <c r="P196" s="82">
        <v>1</v>
      </c>
      <c r="Q196" s="82">
        <v>1</v>
      </c>
      <c r="R196" s="82">
        <f t="shared" si="31"/>
        <v>1530000</v>
      </c>
      <c r="S196" s="82">
        <f t="shared" si="30"/>
        <v>1530000</v>
      </c>
      <c r="T196" s="82">
        <f t="shared" si="37"/>
        <v>0</v>
      </c>
      <c r="U196" s="82">
        <f t="shared" si="36"/>
        <v>1530000</v>
      </c>
    </row>
    <row r="197" spans="1:21" s="42" customFormat="1" ht="20.25" customHeight="1">
      <c r="A197" s="118">
        <v>51</v>
      </c>
      <c r="B197" s="80" t="s">
        <v>17</v>
      </c>
      <c r="C197" s="335" t="s">
        <v>503</v>
      </c>
      <c r="D197" s="261" t="s">
        <v>504</v>
      </c>
      <c r="E197" s="80" t="s">
        <v>374</v>
      </c>
      <c r="F197" s="80" t="s">
        <v>1138</v>
      </c>
      <c r="G197" s="66">
        <v>13</v>
      </c>
      <c r="H197" s="82">
        <v>500</v>
      </c>
      <c r="I197" s="83">
        <v>2</v>
      </c>
      <c r="J197" s="84" t="s">
        <v>40</v>
      </c>
      <c r="K197" s="86">
        <v>1</v>
      </c>
      <c r="L197" s="82">
        <v>0</v>
      </c>
      <c r="M197" s="82">
        <f t="shared" si="44"/>
        <v>1300</v>
      </c>
      <c r="N197" s="82">
        <f t="shared" si="45"/>
        <v>1072.5</v>
      </c>
      <c r="O197" s="82">
        <f t="shared" si="43"/>
        <v>49335</v>
      </c>
      <c r="P197" s="82">
        <v>1</v>
      </c>
      <c r="Q197" s="82">
        <v>1</v>
      </c>
      <c r="R197" s="82">
        <f t="shared" si="31"/>
        <v>1530000</v>
      </c>
      <c r="S197" s="82">
        <f t="shared" si="30"/>
        <v>1530000</v>
      </c>
      <c r="T197" s="82">
        <f t="shared" si="37"/>
        <v>0</v>
      </c>
      <c r="U197" s="82">
        <f t="shared" si="36"/>
        <v>1530000</v>
      </c>
    </row>
    <row r="198" spans="1:21" s="42" customFormat="1" ht="20.25" customHeight="1">
      <c r="A198" s="118">
        <v>52</v>
      </c>
      <c r="B198" s="80" t="s">
        <v>17</v>
      </c>
      <c r="C198" s="335" t="s">
        <v>505</v>
      </c>
      <c r="D198" s="261" t="s">
        <v>506</v>
      </c>
      <c r="E198" s="80" t="s">
        <v>378</v>
      </c>
      <c r="F198" s="80" t="s">
        <v>1153</v>
      </c>
      <c r="G198" s="66">
        <v>22</v>
      </c>
      <c r="H198" s="82">
        <v>600</v>
      </c>
      <c r="I198" s="83">
        <v>1</v>
      </c>
      <c r="J198" s="84" t="s">
        <v>62</v>
      </c>
      <c r="K198" s="86">
        <v>1</v>
      </c>
      <c r="L198" s="86">
        <v>0</v>
      </c>
      <c r="M198" s="82">
        <f t="shared" si="44"/>
        <v>2640</v>
      </c>
      <c r="N198" s="82">
        <f t="shared" si="45"/>
        <v>2178</v>
      </c>
      <c r="O198" s="82">
        <f t="shared" si="43"/>
        <v>100188</v>
      </c>
      <c r="P198" s="82">
        <v>1</v>
      </c>
      <c r="Q198" s="82">
        <v>1</v>
      </c>
      <c r="R198" s="82">
        <f t="shared" si="31"/>
        <v>1530000</v>
      </c>
      <c r="S198" s="82">
        <f t="shared" si="30"/>
        <v>1530000</v>
      </c>
      <c r="T198" s="82">
        <f t="shared" si="37"/>
        <v>0</v>
      </c>
      <c r="U198" s="82">
        <f t="shared" si="36"/>
        <v>1530000</v>
      </c>
    </row>
    <row r="199" spans="1:21" s="42" customFormat="1" ht="20.25" customHeight="1">
      <c r="A199" s="118">
        <v>53</v>
      </c>
      <c r="B199" s="80" t="s">
        <v>17</v>
      </c>
      <c r="C199" s="333" t="s">
        <v>1443</v>
      </c>
      <c r="D199" s="105" t="s">
        <v>507</v>
      </c>
      <c r="E199" s="80" t="s">
        <v>378</v>
      </c>
      <c r="F199" s="80" t="s">
        <v>1138</v>
      </c>
      <c r="G199" s="66">
        <v>31</v>
      </c>
      <c r="H199" s="82">
        <v>2000</v>
      </c>
      <c r="I199" s="83">
        <v>4</v>
      </c>
      <c r="J199" s="84" t="s">
        <v>66</v>
      </c>
      <c r="K199" s="86">
        <v>1</v>
      </c>
      <c r="L199" s="86">
        <v>0</v>
      </c>
      <c r="M199" s="82">
        <f t="shared" si="44"/>
        <v>12400</v>
      </c>
      <c r="N199" s="82">
        <f t="shared" si="45"/>
        <v>10230</v>
      </c>
      <c r="O199" s="82">
        <f t="shared" si="43"/>
        <v>470580</v>
      </c>
      <c r="P199" s="82">
        <v>1</v>
      </c>
      <c r="Q199" s="82">
        <v>1</v>
      </c>
      <c r="R199" s="82">
        <f t="shared" si="31"/>
        <v>1530000</v>
      </c>
      <c r="S199" s="82">
        <f t="shared" si="30"/>
        <v>1530000</v>
      </c>
      <c r="T199" s="82">
        <f t="shared" si="37"/>
        <v>0</v>
      </c>
      <c r="U199" s="82">
        <f t="shared" si="36"/>
        <v>1530000</v>
      </c>
    </row>
    <row r="200" spans="1:21" s="42" customFormat="1" ht="20.25" customHeight="1">
      <c r="A200" s="118">
        <v>54</v>
      </c>
      <c r="B200" s="80" t="s">
        <v>17</v>
      </c>
      <c r="C200" s="335" t="s">
        <v>508</v>
      </c>
      <c r="D200" s="261" t="s">
        <v>509</v>
      </c>
      <c r="E200" s="80" t="s">
        <v>386</v>
      </c>
      <c r="F200" s="80" t="s">
        <v>1138</v>
      </c>
      <c r="G200" s="66">
        <v>10</v>
      </c>
      <c r="H200" s="82">
        <v>550</v>
      </c>
      <c r="I200" s="83">
        <v>2</v>
      </c>
      <c r="J200" s="84" t="s">
        <v>40</v>
      </c>
      <c r="K200" s="86">
        <v>1</v>
      </c>
      <c r="L200" s="86">
        <v>0</v>
      </c>
      <c r="M200" s="82">
        <f t="shared" si="44"/>
        <v>1100</v>
      </c>
      <c r="N200" s="82">
        <f t="shared" si="45"/>
        <v>907.5</v>
      </c>
      <c r="O200" s="82">
        <f t="shared" si="43"/>
        <v>41745</v>
      </c>
      <c r="P200" s="82">
        <v>1</v>
      </c>
      <c r="Q200" s="82">
        <v>1</v>
      </c>
      <c r="R200" s="82">
        <f t="shared" si="31"/>
        <v>1530000</v>
      </c>
      <c r="S200" s="82">
        <f t="shared" si="30"/>
        <v>1530000</v>
      </c>
      <c r="T200" s="82">
        <f t="shared" si="37"/>
        <v>0</v>
      </c>
      <c r="U200" s="82">
        <f t="shared" si="36"/>
        <v>1530000</v>
      </c>
    </row>
    <row r="201" spans="1:21" s="42" customFormat="1" ht="20.25" customHeight="1">
      <c r="A201" s="118">
        <v>55</v>
      </c>
      <c r="B201" s="80" t="s">
        <v>46</v>
      </c>
      <c r="C201" s="336" t="s">
        <v>510</v>
      </c>
      <c r="D201" s="262" t="s">
        <v>511</v>
      </c>
      <c r="E201" s="80" t="s">
        <v>396</v>
      </c>
      <c r="F201" s="81" t="s">
        <v>1112</v>
      </c>
      <c r="G201" s="66">
        <v>26</v>
      </c>
      <c r="H201" s="82">
        <v>1100</v>
      </c>
      <c r="I201" s="82">
        <v>3</v>
      </c>
      <c r="J201" s="84" t="s">
        <v>40</v>
      </c>
      <c r="K201" s="86">
        <v>1</v>
      </c>
      <c r="L201" s="82">
        <v>0</v>
      </c>
      <c r="M201" s="82">
        <f t="shared" si="44"/>
        <v>5720</v>
      </c>
      <c r="N201" s="82">
        <f t="shared" si="45"/>
        <v>4719</v>
      </c>
      <c r="O201" s="82">
        <f t="shared" si="43"/>
        <v>217074</v>
      </c>
      <c r="P201" s="82">
        <v>1</v>
      </c>
      <c r="Q201" s="82">
        <v>1</v>
      </c>
      <c r="R201" s="82">
        <f t="shared" si="31"/>
        <v>1530000</v>
      </c>
      <c r="S201" s="82">
        <f t="shared" si="30"/>
        <v>1530000</v>
      </c>
      <c r="T201" s="82">
        <f t="shared" si="37"/>
        <v>0</v>
      </c>
      <c r="U201" s="82">
        <f t="shared" si="36"/>
        <v>1530000</v>
      </c>
    </row>
    <row r="202" spans="1:21" s="42" customFormat="1" ht="20.25" customHeight="1">
      <c r="A202" s="118">
        <v>56</v>
      </c>
      <c r="B202" s="80" t="s">
        <v>46</v>
      </c>
      <c r="C202" s="336" t="s">
        <v>512</v>
      </c>
      <c r="D202" s="262" t="s">
        <v>511</v>
      </c>
      <c r="E202" s="80" t="s">
        <v>396</v>
      </c>
      <c r="F202" s="81" t="s">
        <v>1112</v>
      </c>
      <c r="G202" s="66">
        <v>26</v>
      </c>
      <c r="H202" s="82">
        <v>1100</v>
      </c>
      <c r="I202" s="82">
        <v>3</v>
      </c>
      <c r="J202" s="84" t="s">
        <v>40</v>
      </c>
      <c r="K202" s="86">
        <v>1</v>
      </c>
      <c r="L202" s="82">
        <v>0</v>
      </c>
      <c r="M202" s="82">
        <f t="shared" si="44"/>
        <v>5720</v>
      </c>
      <c r="N202" s="82">
        <f t="shared" si="45"/>
        <v>4719</v>
      </c>
      <c r="O202" s="82">
        <f t="shared" si="43"/>
        <v>217074</v>
      </c>
      <c r="P202" s="82">
        <v>1</v>
      </c>
      <c r="Q202" s="82">
        <v>1</v>
      </c>
      <c r="R202" s="82">
        <f t="shared" si="31"/>
        <v>1530000</v>
      </c>
      <c r="S202" s="82">
        <f t="shared" si="30"/>
        <v>1530000</v>
      </c>
      <c r="T202" s="82">
        <f t="shared" si="37"/>
        <v>0</v>
      </c>
      <c r="U202" s="82">
        <f t="shared" si="36"/>
        <v>1530000</v>
      </c>
    </row>
    <row r="203" spans="1:21" s="42" customFormat="1" ht="20.25" customHeight="1">
      <c r="A203" s="118">
        <v>57</v>
      </c>
      <c r="B203" s="81" t="s">
        <v>17</v>
      </c>
      <c r="C203" s="335" t="s">
        <v>513</v>
      </c>
      <c r="D203" s="135" t="s">
        <v>514</v>
      </c>
      <c r="E203" s="81" t="s">
        <v>386</v>
      </c>
      <c r="F203" s="80" t="s">
        <v>1138</v>
      </c>
      <c r="G203" s="66">
        <v>10</v>
      </c>
      <c r="H203" s="82">
        <v>600</v>
      </c>
      <c r="I203" s="119">
        <v>2</v>
      </c>
      <c r="J203" s="120" t="s">
        <v>62</v>
      </c>
      <c r="K203" s="86">
        <v>1</v>
      </c>
      <c r="L203" s="86">
        <v>0</v>
      </c>
      <c r="M203" s="82">
        <f>G203*H203*5/100</f>
        <v>300</v>
      </c>
      <c r="N203" s="82">
        <f>M203*0.15*7</f>
        <v>315</v>
      </c>
      <c r="O203" s="82">
        <f>M203*6.6*7+N203*2</f>
        <v>14490</v>
      </c>
      <c r="P203" s="82">
        <v>1</v>
      </c>
      <c r="Q203" s="82">
        <v>1</v>
      </c>
      <c r="R203" s="82">
        <f t="shared" si="31"/>
        <v>1530000</v>
      </c>
      <c r="S203" s="82">
        <f t="shared" si="30"/>
        <v>1530000</v>
      </c>
      <c r="T203" s="82">
        <f t="shared" si="37"/>
        <v>0</v>
      </c>
      <c r="U203" s="82">
        <f t="shared" si="36"/>
        <v>1530000</v>
      </c>
    </row>
    <row r="204" spans="1:21" s="42" customFormat="1" ht="24" customHeight="1">
      <c r="A204" s="118">
        <v>58</v>
      </c>
      <c r="B204" s="80" t="s">
        <v>46</v>
      </c>
      <c r="C204" s="333" t="s">
        <v>1454</v>
      </c>
      <c r="D204" s="105" t="s">
        <v>1453</v>
      </c>
      <c r="E204" s="80" t="s">
        <v>768</v>
      </c>
      <c r="F204" s="81" t="s">
        <v>1112</v>
      </c>
      <c r="G204" s="66">
        <v>21</v>
      </c>
      <c r="H204" s="82">
        <v>900</v>
      </c>
      <c r="I204" s="119">
        <v>3</v>
      </c>
      <c r="J204" s="120" t="s">
        <v>62</v>
      </c>
      <c r="K204" s="86">
        <v>1</v>
      </c>
      <c r="L204" s="86">
        <v>0</v>
      </c>
      <c r="M204" s="82">
        <f>G204*H204*5/100</f>
        <v>945</v>
      </c>
      <c r="N204" s="82">
        <f>M204*0.15*7</f>
        <v>992.25</v>
      </c>
      <c r="O204" s="82">
        <f>M204*6.6*7+N204*2</f>
        <v>45643.5</v>
      </c>
      <c r="P204" s="82">
        <v>1</v>
      </c>
      <c r="Q204" s="82">
        <v>1</v>
      </c>
      <c r="R204" s="82">
        <f t="shared" si="31"/>
        <v>1530000</v>
      </c>
      <c r="S204" s="82">
        <f t="shared" si="30"/>
        <v>1530000</v>
      </c>
      <c r="T204" s="82">
        <f t="shared" si="37"/>
        <v>0</v>
      </c>
      <c r="U204" s="82">
        <f t="shared" si="36"/>
        <v>1530000</v>
      </c>
    </row>
    <row r="205" spans="1:21" s="42" customFormat="1" ht="24" customHeight="1">
      <c r="A205" s="118">
        <v>59</v>
      </c>
      <c r="B205" s="80" t="s">
        <v>46</v>
      </c>
      <c r="C205" s="333" t="s">
        <v>1455</v>
      </c>
      <c r="D205" s="105" t="s">
        <v>1453</v>
      </c>
      <c r="E205" s="80" t="s">
        <v>768</v>
      </c>
      <c r="F205" s="81" t="s">
        <v>1112</v>
      </c>
      <c r="G205" s="66">
        <v>23</v>
      </c>
      <c r="H205" s="82">
        <v>900</v>
      </c>
      <c r="I205" s="119">
        <v>4</v>
      </c>
      <c r="J205" s="120" t="s">
        <v>40</v>
      </c>
      <c r="K205" s="86">
        <v>1</v>
      </c>
      <c r="L205" s="86">
        <v>0</v>
      </c>
      <c r="M205" s="82">
        <f>G205*H205/5</f>
        <v>4140</v>
      </c>
      <c r="N205" s="82">
        <f>M205*0.15*5.5</f>
        <v>3415.5</v>
      </c>
      <c r="O205" s="82">
        <f>M205*6.6*5.5+N205*2</f>
        <v>157113</v>
      </c>
      <c r="P205" s="82">
        <v>1</v>
      </c>
      <c r="Q205" s="82">
        <v>1</v>
      </c>
      <c r="R205" s="82">
        <f t="shared" si="31"/>
        <v>1530000</v>
      </c>
      <c r="S205" s="82">
        <f t="shared" si="30"/>
        <v>1530000</v>
      </c>
      <c r="T205" s="82">
        <f t="shared" si="37"/>
        <v>0</v>
      </c>
      <c r="U205" s="82">
        <f t="shared" si="36"/>
        <v>1530000</v>
      </c>
    </row>
    <row r="206" spans="1:21" s="42" customFormat="1" ht="24" customHeight="1">
      <c r="A206" s="118">
        <v>60</v>
      </c>
      <c r="B206" s="80" t="s">
        <v>46</v>
      </c>
      <c r="C206" s="333" t="s">
        <v>1462</v>
      </c>
      <c r="D206" s="105" t="s">
        <v>1453</v>
      </c>
      <c r="E206" s="80" t="s">
        <v>768</v>
      </c>
      <c r="F206" s="81" t="s">
        <v>1112</v>
      </c>
      <c r="G206" s="66">
        <v>21</v>
      </c>
      <c r="H206" s="82">
        <v>900</v>
      </c>
      <c r="I206" s="119">
        <v>3</v>
      </c>
      <c r="J206" s="120" t="s">
        <v>62</v>
      </c>
      <c r="K206" s="86">
        <v>1</v>
      </c>
      <c r="L206" s="86">
        <v>0</v>
      </c>
      <c r="M206" s="82">
        <f aca="true" t="shared" si="46" ref="M206:M222">G206*H206*5/100</f>
        <v>945</v>
      </c>
      <c r="N206" s="82">
        <f>M206*0.15*7</f>
        <v>992.25</v>
      </c>
      <c r="O206" s="82">
        <f>M206*6.6*7+N206*2</f>
        <v>45643.5</v>
      </c>
      <c r="P206" s="82">
        <v>1</v>
      </c>
      <c r="Q206" s="82">
        <v>1</v>
      </c>
      <c r="R206" s="82">
        <f t="shared" si="31"/>
        <v>1530000</v>
      </c>
      <c r="S206" s="82">
        <f t="shared" si="30"/>
        <v>1530000</v>
      </c>
      <c r="T206" s="82">
        <f t="shared" si="37"/>
        <v>0</v>
      </c>
      <c r="U206" s="82">
        <f t="shared" si="36"/>
        <v>1530000</v>
      </c>
    </row>
    <row r="207" spans="1:21" s="42" customFormat="1" ht="24" customHeight="1">
      <c r="A207" s="118">
        <v>61</v>
      </c>
      <c r="B207" s="80" t="s">
        <v>46</v>
      </c>
      <c r="C207" s="333" t="s">
        <v>1456</v>
      </c>
      <c r="D207" s="105" t="s">
        <v>1453</v>
      </c>
      <c r="E207" s="80" t="s">
        <v>768</v>
      </c>
      <c r="F207" s="81" t="s">
        <v>1112</v>
      </c>
      <c r="G207" s="66">
        <v>21</v>
      </c>
      <c r="H207" s="82">
        <v>900</v>
      </c>
      <c r="I207" s="119">
        <v>3</v>
      </c>
      <c r="J207" s="120" t="s">
        <v>62</v>
      </c>
      <c r="K207" s="86">
        <v>1</v>
      </c>
      <c r="L207" s="86">
        <v>0</v>
      </c>
      <c r="M207" s="82">
        <f t="shared" si="46"/>
        <v>945</v>
      </c>
      <c r="N207" s="82">
        <f aca="true" t="shared" si="47" ref="N207:N222">M207*0.15*7</f>
        <v>992.25</v>
      </c>
      <c r="O207" s="82">
        <f aca="true" t="shared" si="48" ref="O207:O222">M207*6.6*7+N207*2</f>
        <v>45643.5</v>
      </c>
      <c r="P207" s="82">
        <v>1</v>
      </c>
      <c r="Q207" s="82">
        <v>1</v>
      </c>
      <c r="R207" s="82">
        <f t="shared" si="31"/>
        <v>1530000</v>
      </c>
      <c r="S207" s="82">
        <f t="shared" si="30"/>
        <v>1530000</v>
      </c>
      <c r="T207" s="82">
        <f t="shared" si="37"/>
        <v>0</v>
      </c>
      <c r="U207" s="82">
        <f t="shared" si="36"/>
        <v>1530000</v>
      </c>
    </row>
    <row r="208" spans="1:21" s="42" customFormat="1" ht="24.75" customHeight="1">
      <c r="A208" s="118">
        <v>62</v>
      </c>
      <c r="B208" s="80" t="s">
        <v>46</v>
      </c>
      <c r="C208" s="333" t="s">
        <v>754</v>
      </c>
      <c r="D208" s="105" t="s">
        <v>1467</v>
      </c>
      <c r="E208" s="80" t="s">
        <v>483</v>
      </c>
      <c r="F208" s="81" t="s">
        <v>1112</v>
      </c>
      <c r="G208" s="66">
        <v>25</v>
      </c>
      <c r="H208" s="82">
        <v>900</v>
      </c>
      <c r="I208" s="83">
        <v>4</v>
      </c>
      <c r="J208" s="84" t="s">
        <v>25</v>
      </c>
      <c r="K208" s="86">
        <v>1</v>
      </c>
      <c r="L208" s="86">
        <v>0</v>
      </c>
      <c r="M208" s="82">
        <f t="shared" si="46"/>
        <v>1125</v>
      </c>
      <c r="N208" s="82">
        <f t="shared" si="47"/>
        <v>1181.25</v>
      </c>
      <c r="O208" s="82">
        <f t="shared" si="48"/>
        <v>54337.5</v>
      </c>
      <c r="P208" s="82">
        <v>1</v>
      </c>
      <c r="Q208" s="82">
        <v>1</v>
      </c>
      <c r="R208" s="82">
        <f t="shared" si="31"/>
        <v>1530000</v>
      </c>
      <c r="S208" s="82">
        <f t="shared" si="30"/>
        <v>1530000</v>
      </c>
      <c r="T208" s="82">
        <f t="shared" si="37"/>
        <v>0</v>
      </c>
      <c r="U208" s="82">
        <f t="shared" si="36"/>
        <v>1530000</v>
      </c>
    </row>
    <row r="209" spans="1:21" s="42" customFormat="1" ht="24.75" customHeight="1">
      <c r="A209" s="118">
        <v>63</v>
      </c>
      <c r="B209" s="80" t="s">
        <v>46</v>
      </c>
      <c r="C209" s="333" t="s">
        <v>755</v>
      </c>
      <c r="D209" s="105" t="s">
        <v>1467</v>
      </c>
      <c r="E209" s="80" t="s">
        <v>483</v>
      </c>
      <c r="F209" s="81" t="s">
        <v>1112</v>
      </c>
      <c r="G209" s="66">
        <v>25</v>
      </c>
      <c r="H209" s="82">
        <v>900</v>
      </c>
      <c r="I209" s="83">
        <v>4</v>
      </c>
      <c r="J209" s="84" t="s">
        <v>25</v>
      </c>
      <c r="K209" s="86">
        <v>1</v>
      </c>
      <c r="L209" s="86">
        <v>0</v>
      </c>
      <c r="M209" s="82">
        <f t="shared" si="46"/>
        <v>1125</v>
      </c>
      <c r="N209" s="82">
        <f t="shared" si="47"/>
        <v>1181.25</v>
      </c>
      <c r="O209" s="82">
        <f t="shared" si="48"/>
        <v>54337.5</v>
      </c>
      <c r="P209" s="82">
        <v>1</v>
      </c>
      <c r="Q209" s="82">
        <v>1</v>
      </c>
      <c r="R209" s="82">
        <f t="shared" si="31"/>
        <v>1530000</v>
      </c>
      <c r="S209" s="82">
        <f t="shared" si="30"/>
        <v>1530000</v>
      </c>
      <c r="T209" s="82">
        <f t="shared" si="37"/>
        <v>0</v>
      </c>
      <c r="U209" s="82">
        <f t="shared" si="36"/>
        <v>1530000</v>
      </c>
    </row>
    <row r="210" spans="1:21" s="42" customFormat="1" ht="24.75" customHeight="1">
      <c r="A210" s="118">
        <v>64</v>
      </c>
      <c r="B210" s="80" t="s">
        <v>46</v>
      </c>
      <c r="C210" s="333" t="s">
        <v>756</v>
      </c>
      <c r="D210" s="105" t="s">
        <v>1467</v>
      </c>
      <c r="E210" s="80" t="s">
        <v>483</v>
      </c>
      <c r="F210" s="81" t="s">
        <v>1112</v>
      </c>
      <c r="G210" s="66">
        <v>25</v>
      </c>
      <c r="H210" s="82">
        <v>900</v>
      </c>
      <c r="I210" s="83">
        <v>4</v>
      </c>
      <c r="J210" s="84" t="s">
        <v>25</v>
      </c>
      <c r="K210" s="86">
        <v>1</v>
      </c>
      <c r="L210" s="86">
        <v>0</v>
      </c>
      <c r="M210" s="82">
        <f t="shared" si="46"/>
        <v>1125</v>
      </c>
      <c r="N210" s="82">
        <f t="shared" si="47"/>
        <v>1181.25</v>
      </c>
      <c r="O210" s="82">
        <f t="shared" si="48"/>
        <v>54337.5</v>
      </c>
      <c r="P210" s="82">
        <v>1</v>
      </c>
      <c r="Q210" s="82">
        <v>1</v>
      </c>
      <c r="R210" s="82">
        <f t="shared" si="31"/>
        <v>1530000</v>
      </c>
      <c r="S210" s="82">
        <f t="shared" si="30"/>
        <v>1530000</v>
      </c>
      <c r="T210" s="82">
        <f t="shared" si="37"/>
        <v>0</v>
      </c>
      <c r="U210" s="82">
        <f t="shared" si="36"/>
        <v>1530000</v>
      </c>
    </row>
    <row r="211" spans="1:21" s="42" customFormat="1" ht="24.75" customHeight="1">
      <c r="A211" s="118">
        <v>65</v>
      </c>
      <c r="B211" s="80" t="s">
        <v>46</v>
      </c>
      <c r="C211" s="333" t="s">
        <v>757</v>
      </c>
      <c r="D211" s="105" t="s">
        <v>1467</v>
      </c>
      <c r="E211" s="80" t="s">
        <v>483</v>
      </c>
      <c r="F211" s="81" t="s">
        <v>1112</v>
      </c>
      <c r="G211" s="66">
        <v>25</v>
      </c>
      <c r="H211" s="82">
        <v>900</v>
      </c>
      <c r="I211" s="83">
        <v>4</v>
      </c>
      <c r="J211" s="84" t="s">
        <v>25</v>
      </c>
      <c r="K211" s="86">
        <v>1</v>
      </c>
      <c r="L211" s="86">
        <v>0</v>
      </c>
      <c r="M211" s="82">
        <f t="shared" si="46"/>
        <v>1125</v>
      </c>
      <c r="N211" s="82">
        <f t="shared" si="47"/>
        <v>1181.25</v>
      </c>
      <c r="O211" s="82">
        <f t="shared" si="48"/>
        <v>54337.5</v>
      </c>
      <c r="P211" s="82">
        <v>1</v>
      </c>
      <c r="Q211" s="82">
        <v>1</v>
      </c>
      <c r="R211" s="82">
        <f t="shared" si="31"/>
        <v>1530000</v>
      </c>
      <c r="S211" s="82">
        <f aca="true" t="shared" si="49" ref="S211:S274">R211*Q211*P211*K211</f>
        <v>1530000</v>
      </c>
      <c r="T211" s="82">
        <f t="shared" si="37"/>
        <v>0</v>
      </c>
      <c r="U211" s="82">
        <f t="shared" si="36"/>
        <v>1530000</v>
      </c>
    </row>
    <row r="212" spans="1:21" s="42" customFormat="1" ht="24.75" customHeight="1">
      <c r="A212" s="118">
        <v>66</v>
      </c>
      <c r="B212" s="80" t="s">
        <v>46</v>
      </c>
      <c r="C212" s="333" t="s">
        <v>767</v>
      </c>
      <c r="D212" s="105" t="s">
        <v>1467</v>
      </c>
      <c r="E212" s="80" t="s">
        <v>483</v>
      </c>
      <c r="F212" s="81" t="s">
        <v>1112</v>
      </c>
      <c r="G212" s="66">
        <v>25</v>
      </c>
      <c r="H212" s="82">
        <v>900</v>
      </c>
      <c r="I212" s="83">
        <v>4</v>
      </c>
      <c r="J212" s="84" t="s">
        <v>25</v>
      </c>
      <c r="K212" s="86">
        <v>1</v>
      </c>
      <c r="L212" s="86">
        <v>0</v>
      </c>
      <c r="M212" s="82">
        <f t="shared" si="46"/>
        <v>1125</v>
      </c>
      <c r="N212" s="82">
        <f t="shared" si="47"/>
        <v>1181.25</v>
      </c>
      <c r="O212" s="82">
        <f t="shared" si="48"/>
        <v>54337.5</v>
      </c>
      <c r="P212" s="82">
        <v>1</v>
      </c>
      <c r="Q212" s="82">
        <v>1</v>
      </c>
      <c r="R212" s="82">
        <f aca="true" t="shared" si="50" ref="R212:R275">68*$R$2</f>
        <v>1530000</v>
      </c>
      <c r="S212" s="82">
        <f t="shared" si="49"/>
        <v>1530000</v>
      </c>
      <c r="T212" s="82">
        <f t="shared" si="37"/>
        <v>0</v>
      </c>
      <c r="U212" s="82">
        <f t="shared" si="36"/>
        <v>1530000</v>
      </c>
    </row>
    <row r="213" spans="1:21" s="42" customFormat="1" ht="24.75" customHeight="1">
      <c r="A213" s="118">
        <v>67</v>
      </c>
      <c r="B213" s="80" t="s">
        <v>46</v>
      </c>
      <c r="C213" s="333" t="s">
        <v>573</v>
      </c>
      <c r="D213" s="105" t="s">
        <v>1467</v>
      </c>
      <c r="E213" s="80" t="s">
        <v>483</v>
      </c>
      <c r="F213" s="81" t="s">
        <v>1112</v>
      </c>
      <c r="G213" s="66">
        <v>25</v>
      </c>
      <c r="H213" s="82">
        <v>900</v>
      </c>
      <c r="I213" s="83">
        <v>4</v>
      </c>
      <c r="J213" s="84" t="s">
        <v>25</v>
      </c>
      <c r="K213" s="86">
        <v>1</v>
      </c>
      <c r="L213" s="86">
        <v>0</v>
      </c>
      <c r="M213" s="82">
        <f t="shared" si="46"/>
        <v>1125</v>
      </c>
      <c r="N213" s="82">
        <f t="shared" si="47"/>
        <v>1181.25</v>
      </c>
      <c r="O213" s="82">
        <f t="shared" si="48"/>
        <v>54337.5</v>
      </c>
      <c r="P213" s="82">
        <v>1</v>
      </c>
      <c r="Q213" s="82">
        <v>1</v>
      </c>
      <c r="R213" s="82">
        <f t="shared" si="50"/>
        <v>1530000</v>
      </c>
      <c r="S213" s="82">
        <f t="shared" si="49"/>
        <v>1530000</v>
      </c>
      <c r="T213" s="82">
        <f t="shared" si="37"/>
        <v>0</v>
      </c>
      <c r="U213" s="82">
        <f t="shared" si="36"/>
        <v>1530000</v>
      </c>
    </row>
    <row r="214" spans="1:21" s="42" customFormat="1" ht="24.75" customHeight="1">
      <c r="A214" s="118">
        <v>68</v>
      </c>
      <c r="B214" s="80" t="s">
        <v>46</v>
      </c>
      <c r="C214" s="333" t="s">
        <v>574</v>
      </c>
      <c r="D214" s="105" t="s">
        <v>1467</v>
      </c>
      <c r="E214" s="80" t="s">
        <v>483</v>
      </c>
      <c r="F214" s="81" t="s">
        <v>1112</v>
      </c>
      <c r="G214" s="66">
        <v>25</v>
      </c>
      <c r="H214" s="82">
        <v>900</v>
      </c>
      <c r="I214" s="83">
        <v>4</v>
      </c>
      <c r="J214" s="84" t="s">
        <v>25</v>
      </c>
      <c r="K214" s="86">
        <v>1</v>
      </c>
      <c r="L214" s="86">
        <v>0</v>
      </c>
      <c r="M214" s="82">
        <f t="shared" si="46"/>
        <v>1125</v>
      </c>
      <c r="N214" s="82">
        <f t="shared" si="47"/>
        <v>1181.25</v>
      </c>
      <c r="O214" s="82">
        <f t="shared" si="48"/>
        <v>54337.5</v>
      </c>
      <c r="P214" s="82">
        <v>1</v>
      </c>
      <c r="Q214" s="82">
        <v>1</v>
      </c>
      <c r="R214" s="82">
        <f t="shared" si="50"/>
        <v>1530000</v>
      </c>
      <c r="S214" s="82">
        <f t="shared" si="49"/>
        <v>1530000</v>
      </c>
      <c r="T214" s="82">
        <f t="shared" si="37"/>
        <v>0</v>
      </c>
      <c r="U214" s="82">
        <f aca="true" t="shared" si="51" ref="U214:U277">S214+T214</f>
        <v>1530000</v>
      </c>
    </row>
    <row r="215" spans="1:21" s="42" customFormat="1" ht="24.75" customHeight="1">
      <c r="A215" s="118">
        <v>69</v>
      </c>
      <c r="B215" s="80" t="s">
        <v>46</v>
      </c>
      <c r="C215" s="333" t="s">
        <v>750</v>
      </c>
      <c r="D215" s="105" t="s">
        <v>1467</v>
      </c>
      <c r="E215" s="80" t="s">
        <v>483</v>
      </c>
      <c r="F215" s="81" t="s">
        <v>1112</v>
      </c>
      <c r="G215" s="66">
        <v>25</v>
      </c>
      <c r="H215" s="82">
        <v>900</v>
      </c>
      <c r="I215" s="83">
        <v>4</v>
      </c>
      <c r="J215" s="84" t="s">
        <v>25</v>
      </c>
      <c r="K215" s="86">
        <v>1</v>
      </c>
      <c r="L215" s="86">
        <v>0</v>
      </c>
      <c r="M215" s="82">
        <f t="shared" si="46"/>
        <v>1125</v>
      </c>
      <c r="N215" s="82">
        <f t="shared" si="47"/>
        <v>1181.25</v>
      </c>
      <c r="O215" s="82">
        <f t="shared" si="48"/>
        <v>54337.5</v>
      </c>
      <c r="P215" s="82">
        <v>1</v>
      </c>
      <c r="Q215" s="82">
        <v>1</v>
      </c>
      <c r="R215" s="82">
        <f t="shared" si="50"/>
        <v>1530000</v>
      </c>
      <c r="S215" s="82">
        <f t="shared" si="49"/>
        <v>1530000</v>
      </c>
      <c r="T215" s="82">
        <f t="shared" si="37"/>
        <v>0</v>
      </c>
      <c r="U215" s="82">
        <f t="shared" si="51"/>
        <v>1530000</v>
      </c>
    </row>
    <row r="216" spans="1:21" s="42" customFormat="1" ht="24.75" customHeight="1">
      <c r="A216" s="118">
        <v>70</v>
      </c>
      <c r="B216" s="80" t="s">
        <v>46</v>
      </c>
      <c r="C216" s="333" t="s">
        <v>751</v>
      </c>
      <c r="D216" s="105" t="s">
        <v>1467</v>
      </c>
      <c r="E216" s="80" t="s">
        <v>483</v>
      </c>
      <c r="F216" s="81" t="s">
        <v>1112</v>
      </c>
      <c r="G216" s="66">
        <v>25</v>
      </c>
      <c r="H216" s="82">
        <v>900</v>
      </c>
      <c r="I216" s="83">
        <v>4</v>
      </c>
      <c r="J216" s="84" t="s">
        <v>25</v>
      </c>
      <c r="K216" s="86">
        <v>1</v>
      </c>
      <c r="L216" s="86">
        <v>0</v>
      </c>
      <c r="M216" s="82">
        <f t="shared" si="46"/>
        <v>1125</v>
      </c>
      <c r="N216" s="82">
        <f t="shared" si="47"/>
        <v>1181.25</v>
      </c>
      <c r="O216" s="82">
        <f t="shared" si="48"/>
        <v>54337.5</v>
      </c>
      <c r="P216" s="82">
        <v>1</v>
      </c>
      <c r="Q216" s="82">
        <v>1</v>
      </c>
      <c r="R216" s="82">
        <f t="shared" si="50"/>
        <v>1530000</v>
      </c>
      <c r="S216" s="82">
        <f t="shared" si="49"/>
        <v>1530000</v>
      </c>
      <c r="T216" s="82">
        <f t="shared" si="37"/>
        <v>0</v>
      </c>
      <c r="U216" s="82">
        <f t="shared" si="51"/>
        <v>1530000</v>
      </c>
    </row>
    <row r="217" spans="1:21" s="42" customFormat="1" ht="24.75" customHeight="1">
      <c r="A217" s="118">
        <v>71</v>
      </c>
      <c r="B217" s="80" t="s">
        <v>46</v>
      </c>
      <c r="C217" s="333" t="s">
        <v>752</v>
      </c>
      <c r="D217" s="105" t="s">
        <v>1467</v>
      </c>
      <c r="E217" s="80" t="s">
        <v>483</v>
      </c>
      <c r="F217" s="81" t="s">
        <v>1112</v>
      </c>
      <c r="G217" s="66">
        <v>25</v>
      </c>
      <c r="H217" s="82">
        <v>900</v>
      </c>
      <c r="I217" s="83">
        <v>4</v>
      </c>
      <c r="J217" s="84" t="s">
        <v>25</v>
      </c>
      <c r="K217" s="86">
        <v>1</v>
      </c>
      <c r="L217" s="86">
        <v>0</v>
      </c>
      <c r="M217" s="82">
        <f t="shared" si="46"/>
        <v>1125</v>
      </c>
      <c r="N217" s="82">
        <f t="shared" si="47"/>
        <v>1181.25</v>
      </c>
      <c r="O217" s="82">
        <f t="shared" si="48"/>
        <v>54337.5</v>
      </c>
      <c r="P217" s="82">
        <v>1</v>
      </c>
      <c r="Q217" s="82">
        <v>1</v>
      </c>
      <c r="R217" s="82">
        <f t="shared" si="50"/>
        <v>1530000</v>
      </c>
      <c r="S217" s="82">
        <f t="shared" si="49"/>
        <v>1530000</v>
      </c>
      <c r="T217" s="82">
        <f t="shared" si="37"/>
        <v>0</v>
      </c>
      <c r="U217" s="82">
        <f t="shared" si="51"/>
        <v>1530000</v>
      </c>
    </row>
    <row r="218" spans="1:21" s="42" customFormat="1" ht="24.75" customHeight="1">
      <c r="A218" s="118">
        <v>72</v>
      </c>
      <c r="B218" s="80" t="s">
        <v>46</v>
      </c>
      <c r="C218" s="333" t="s">
        <v>753</v>
      </c>
      <c r="D218" s="105" t="s">
        <v>1467</v>
      </c>
      <c r="E218" s="80" t="s">
        <v>483</v>
      </c>
      <c r="F218" s="81" t="s">
        <v>1112</v>
      </c>
      <c r="G218" s="66">
        <v>25</v>
      </c>
      <c r="H218" s="82">
        <v>900</v>
      </c>
      <c r="I218" s="83">
        <v>4</v>
      </c>
      <c r="J218" s="84" t="s">
        <v>25</v>
      </c>
      <c r="K218" s="86">
        <v>1</v>
      </c>
      <c r="L218" s="86">
        <v>0</v>
      </c>
      <c r="M218" s="82">
        <f t="shared" si="46"/>
        <v>1125</v>
      </c>
      <c r="N218" s="82">
        <f t="shared" si="47"/>
        <v>1181.25</v>
      </c>
      <c r="O218" s="82">
        <f t="shared" si="48"/>
        <v>54337.5</v>
      </c>
      <c r="P218" s="82">
        <v>1</v>
      </c>
      <c r="Q218" s="82">
        <v>1</v>
      </c>
      <c r="R218" s="82">
        <f t="shared" si="50"/>
        <v>1530000</v>
      </c>
      <c r="S218" s="82">
        <f t="shared" si="49"/>
        <v>1530000</v>
      </c>
      <c r="T218" s="82">
        <f t="shared" si="37"/>
        <v>0</v>
      </c>
      <c r="U218" s="82">
        <f t="shared" si="51"/>
        <v>1530000</v>
      </c>
    </row>
    <row r="219" spans="1:21" s="42" customFormat="1" ht="24.75" customHeight="1">
      <c r="A219" s="118">
        <v>73</v>
      </c>
      <c r="B219" s="80" t="s">
        <v>46</v>
      </c>
      <c r="C219" s="333" t="s">
        <v>758</v>
      </c>
      <c r="D219" s="105" t="s">
        <v>1467</v>
      </c>
      <c r="E219" s="80" t="s">
        <v>483</v>
      </c>
      <c r="F219" s="81" t="s">
        <v>1112</v>
      </c>
      <c r="G219" s="66">
        <v>25</v>
      </c>
      <c r="H219" s="82">
        <v>1000</v>
      </c>
      <c r="I219" s="83">
        <v>5</v>
      </c>
      <c r="J219" s="84" t="s">
        <v>43</v>
      </c>
      <c r="K219" s="86">
        <v>1</v>
      </c>
      <c r="L219" s="86">
        <v>0</v>
      </c>
      <c r="M219" s="82">
        <f t="shared" si="46"/>
        <v>1250</v>
      </c>
      <c r="N219" s="82">
        <f t="shared" si="47"/>
        <v>1312.5</v>
      </c>
      <c r="O219" s="82">
        <f t="shared" si="48"/>
        <v>60375</v>
      </c>
      <c r="P219" s="82">
        <v>1</v>
      </c>
      <c r="Q219" s="82">
        <v>1</v>
      </c>
      <c r="R219" s="82">
        <f t="shared" si="50"/>
        <v>1530000</v>
      </c>
      <c r="S219" s="82">
        <f t="shared" si="49"/>
        <v>1530000</v>
      </c>
      <c r="T219" s="82">
        <f t="shared" si="37"/>
        <v>0</v>
      </c>
      <c r="U219" s="82">
        <f t="shared" si="51"/>
        <v>1530000</v>
      </c>
    </row>
    <row r="220" spans="1:21" s="42" customFormat="1" ht="24.75" customHeight="1">
      <c r="A220" s="118">
        <v>74</v>
      </c>
      <c r="B220" s="80" t="s">
        <v>46</v>
      </c>
      <c r="C220" s="333" t="s">
        <v>759</v>
      </c>
      <c r="D220" s="105" t="s">
        <v>1467</v>
      </c>
      <c r="E220" s="80" t="s">
        <v>483</v>
      </c>
      <c r="F220" s="81" t="s">
        <v>1112</v>
      </c>
      <c r="G220" s="66">
        <v>25</v>
      </c>
      <c r="H220" s="82">
        <v>1000</v>
      </c>
      <c r="I220" s="83">
        <v>5</v>
      </c>
      <c r="J220" s="84" t="s">
        <v>43</v>
      </c>
      <c r="K220" s="86">
        <v>1</v>
      </c>
      <c r="L220" s="86">
        <v>0</v>
      </c>
      <c r="M220" s="82">
        <f t="shared" si="46"/>
        <v>1250</v>
      </c>
      <c r="N220" s="82">
        <f t="shared" si="47"/>
        <v>1312.5</v>
      </c>
      <c r="O220" s="82">
        <f t="shared" si="48"/>
        <v>60375</v>
      </c>
      <c r="P220" s="82">
        <v>1</v>
      </c>
      <c r="Q220" s="82">
        <v>1</v>
      </c>
      <c r="R220" s="82">
        <f t="shared" si="50"/>
        <v>1530000</v>
      </c>
      <c r="S220" s="82">
        <f t="shared" si="49"/>
        <v>1530000</v>
      </c>
      <c r="T220" s="82">
        <f t="shared" si="37"/>
        <v>0</v>
      </c>
      <c r="U220" s="82">
        <f t="shared" si="51"/>
        <v>1530000</v>
      </c>
    </row>
    <row r="221" spans="1:21" s="42" customFormat="1" ht="20.25" customHeight="1">
      <c r="A221" s="118">
        <v>75</v>
      </c>
      <c r="B221" s="80" t="s">
        <v>17</v>
      </c>
      <c r="C221" s="335" t="s">
        <v>515</v>
      </c>
      <c r="D221" s="105" t="s">
        <v>516</v>
      </c>
      <c r="E221" s="80" t="s">
        <v>402</v>
      </c>
      <c r="F221" s="80"/>
      <c r="G221" s="66">
        <v>22</v>
      </c>
      <c r="H221" s="82">
        <v>500</v>
      </c>
      <c r="I221" s="82">
        <v>2</v>
      </c>
      <c r="J221" s="84" t="s">
        <v>40</v>
      </c>
      <c r="K221" s="86">
        <v>1</v>
      </c>
      <c r="L221" s="82"/>
      <c r="M221" s="82">
        <f t="shared" si="46"/>
        <v>550</v>
      </c>
      <c r="N221" s="82">
        <f t="shared" si="47"/>
        <v>577.5</v>
      </c>
      <c r="O221" s="82">
        <f t="shared" si="48"/>
        <v>26565</v>
      </c>
      <c r="P221" s="82">
        <v>1</v>
      </c>
      <c r="Q221" s="82">
        <v>1</v>
      </c>
      <c r="R221" s="82">
        <f t="shared" si="50"/>
        <v>1530000</v>
      </c>
      <c r="S221" s="82">
        <f t="shared" si="49"/>
        <v>1530000</v>
      </c>
      <c r="T221" s="82">
        <f t="shared" si="37"/>
        <v>0</v>
      </c>
      <c r="U221" s="82">
        <f t="shared" si="51"/>
        <v>1530000</v>
      </c>
    </row>
    <row r="222" spans="1:21" s="42" customFormat="1" ht="20.25" customHeight="1">
      <c r="A222" s="118">
        <v>76</v>
      </c>
      <c r="B222" s="80" t="s">
        <v>17</v>
      </c>
      <c r="C222" s="336" t="s">
        <v>517</v>
      </c>
      <c r="D222" s="262" t="s">
        <v>518</v>
      </c>
      <c r="E222" s="80" t="s">
        <v>384</v>
      </c>
      <c r="F222" s="80"/>
      <c r="G222" s="66">
        <v>17</v>
      </c>
      <c r="H222" s="82">
        <v>1000</v>
      </c>
      <c r="I222" s="82">
        <v>3</v>
      </c>
      <c r="J222" s="84" t="s">
        <v>40</v>
      </c>
      <c r="K222" s="86">
        <v>1</v>
      </c>
      <c r="L222" s="82">
        <v>0</v>
      </c>
      <c r="M222" s="82">
        <f t="shared" si="46"/>
        <v>850</v>
      </c>
      <c r="N222" s="82">
        <f t="shared" si="47"/>
        <v>892.5</v>
      </c>
      <c r="O222" s="82">
        <f t="shared" si="48"/>
        <v>41055</v>
      </c>
      <c r="P222" s="82">
        <v>1</v>
      </c>
      <c r="Q222" s="82">
        <v>1</v>
      </c>
      <c r="R222" s="82">
        <f t="shared" si="50"/>
        <v>1530000</v>
      </c>
      <c r="S222" s="82">
        <f t="shared" si="49"/>
        <v>1530000</v>
      </c>
      <c r="T222" s="82">
        <f t="shared" si="37"/>
        <v>0</v>
      </c>
      <c r="U222" s="82">
        <f t="shared" si="51"/>
        <v>1530000</v>
      </c>
    </row>
    <row r="223" spans="1:21" s="42" customFormat="1" ht="20.25" customHeight="1">
      <c r="A223" s="118">
        <v>77</v>
      </c>
      <c r="B223" s="80" t="s">
        <v>46</v>
      </c>
      <c r="C223" s="335" t="s">
        <v>519</v>
      </c>
      <c r="D223" s="261" t="s">
        <v>520</v>
      </c>
      <c r="E223" s="80" t="s">
        <v>483</v>
      </c>
      <c r="F223" s="81" t="s">
        <v>1112</v>
      </c>
      <c r="G223" s="66">
        <v>20</v>
      </c>
      <c r="H223" s="82">
        <v>2200</v>
      </c>
      <c r="I223" s="83">
        <v>3</v>
      </c>
      <c r="J223" s="84" t="s">
        <v>40</v>
      </c>
      <c r="K223" s="86">
        <v>1</v>
      </c>
      <c r="L223" s="82">
        <v>0</v>
      </c>
      <c r="M223" s="82">
        <f>G223*H223/5</f>
        <v>8800</v>
      </c>
      <c r="N223" s="82">
        <f>M223*0.15*5.5</f>
        <v>7260</v>
      </c>
      <c r="O223" s="82">
        <f>M223*6.6*5.5+N223*2</f>
        <v>333960</v>
      </c>
      <c r="P223" s="82">
        <v>1</v>
      </c>
      <c r="Q223" s="82">
        <v>1</v>
      </c>
      <c r="R223" s="82">
        <f t="shared" si="50"/>
        <v>1530000</v>
      </c>
      <c r="S223" s="82">
        <f t="shared" si="49"/>
        <v>1530000</v>
      </c>
      <c r="T223" s="82">
        <f t="shared" si="37"/>
        <v>0</v>
      </c>
      <c r="U223" s="82">
        <f t="shared" si="51"/>
        <v>1530000</v>
      </c>
    </row>
    <row r="224" spans="1:21" s="42" customFormat="1" ht="20.25" customHeight="1">
      <c r="A224" s="118">
        <v>78</v>
      </c>
      <c r="B224" s="80" t="s">
        <v>17</v>
      </c>
      <c r="C224" s="335" t="s">
        <v>521</v>
      </c>
      <c r="D224" s="261" t="s">
        <v>520</v>
      </c>
      <c r="E224" s="80" t="s">
        <v>483</v>
      </c>
      <c r="F224" s="81" t="s">
        <v>1112</v>
      </c>
      <c r="G224" s="66">
        <v>7</v>
      </c>
      <c r="H224" s="82">
        <v>2200</v>
      </c>
      <c r="I224" s="83">
        <v>2</v>
      </c>
      <c r="J224" s="84" t="s">
        <v>62</v>
      </c>
      <c r="K224" s="86">
        <v>1</v>
      </c>
      <c r="L224" s="82">
        <v>0</v>
      </c>
      <c r="M224" s="82">
        <f>G224*H224/5</f>
        <v>3080</v>
      </c>
      <c r="N224" s="82">
        <f>M224*0.15*5.5</f>
        <v>2541</v>
      </c>
      <c r="O224" s="82">
        <f>M224*6.6*5.5+N224*2</f>
        <v>116886</v>
      </c>
      <c r="P224" s="82">
        <v>1</v>
      </c>
      <c r="Q224" s="82">
        <v>1</v>
      </c>
      <c r="R224" s="82">
        <f t="shared" si="50"/>
        <v>1530000</v>
      </c>
      <c r="S224" s="82">
        <f t="shared" si="49"/>
        <v>1530000</v>
      </c>
      <c r="T224" s="82">
        <f t="shared" si="37"/>
        <v>0</v>
      </c>
      <c r="U224" s="82">
        <f t="shared" si="51"/>
        <v>1530000</v>
      </c>
    </row>
    <row r="225" spans="1:21" s="42" customFormat="1" ht="20.25" customHeight="1">
      <c r="A225" s="118">
        <v>79</v>
      </c>
      <c r="B225" s="80" t="s">
        <v>17</v>
      </c>
      <c r="C225" s="333" t="s">
        <v>522</v>
      </c>
      <c r="D225" s="105" t="s">
        <v>523</v>
      </c>
      <c r="E225" s="80" t="s">
        <v>389</v>
      </c>
      <c r="F225" s="80" t="s">
        <v>1138</v>
      </c>
      <c r="G225" s="66">
        <v>15</v>
      </c>
      <c r="H225" s="82">
        <v>800</v>
      </c>
      <c r="I225" s="82">
        <v>2</v>
      </c>
      <c r="J225" s="84" t="s">
        <v>40</v>
      </c>
      <c r="K225" s="86">
        <v>1</v>
      </c>
      <c r="L225" s="82">
        <v>0</v>
      </c>
      <c r="M225" s="82">
        <f>G225*H225*5/100</f>
        <v>600</v>
      </c>
      <c r="N225" s="82">
        <f>M225*0.15*7</f>
        <v>630</v>
      </c>
      <c r="O225" s="82">
        <f>M225*6.6*7+N225*2</f>
        <v>28980</v>
      </c>
      <c r="P225" s="82">
        <v>1</v>
      </c>
      <c r="Q225" s="82">
        <v>1</v>
      </c>
      <c r="R225" s="82">
        <f t="shared" si="50"/>
        <v>1530000</v>
      </c>
      <c r="S225" s="82">
        <f t="shared" si="49"/>
        <v>1530000</v>
      </c>
      <c r="T225" s="82">
        <f t="shared" si="37"/>
        <v>0</v>
      </c>
      <c r="U225" s="82">
        <f t="shared" si="51"/>
        <v>1530000</v>
      </c>
    </row>
    <row r="226" spans="1:21" s="42" customFormat="1" ht="20.25" customHeight="1">
      <c r="A226" s="118">
        <v>80</v>
      </c>
      <c r="B226" s="80" t="s">
        <v>46</v>
      </c>
      <c r="C226" s="336" t="s">
        <v>524</v>
      </c>
      <c r="D226" s="262" t="s">
        <v>525</v>
      </c>
      <c r="E226" s="80" t="s">
        <v>402</v>
      </c>
      <c r="F226" s="80" t="s">
        <v>1138</v>
      </c>
      <c r="G226" s="66">
        <v>24</v>
      </c>
      <c r="H226" s="82">
        <v>2300</v>
      </c>
      <c r="I226" s="82">
        <v>3</v>
      </c>
      <c r="J226" s="84" t="s">
        <v>25</v>
      </c>
      <c r="K226" s="86">
        <v>1</v>
      </c>
      <c r="L226" s="82">
        <v>0</v>
      </c>
      <c r="M226" s="82">
        <f>G226*H226/5</f>
        <v>11040</v>
      </c>
      <c r="N226" s="82">
        <f>M226*0.15*5.5</f>
        <v>9108</v>
      </c>
      <c r="O226" s="82">
        <f>M226*6.6*5.5+N226*2</f>
        <v>418968</v>
      </c>
      <c r="P226" s="82">
        <v>1</v>
      </c>
      <c r="Q226" s="82">
        <v>1</v>
      </c>
      <c r="R226" s="82">
        <f t="shared" si="50"/>
        <v>1530000</v>
      </c>
      <c r="S226" s="82">
        <f t="shared" si="49"/>
        <v>1530000</v>
      </c>
      <c r="T226" s="82">
        <f t="shared" si="37"/>
        <v>0</v>
      </c>
      <c r="U226" s="82">
        <f t="shared" si="51"/>
        <v>1530000</v>
      </c>
    </row>
    <row r="227" spans="1:21" s="42" customFormat="1" ht="20.25" customHeight="1">
      <c r="A227" s="118">
        <v>81</v>
      </c>
      <c r="B227" s="80" t="s">
        <v>46</v>
      </c>
      <c r="C227" s="336" t="s">
        <v>526</v>
      </c>
      <c r="D227" s="262" t="s">
        <v>525</v>
      </c>
      <c r="E227" s="80" t="s">
        <v>402</v>
      </c>
      <c r="F227" s="80" t="s">
        <v>1138</v>
      </c>
      <c r="G227" s="66">
        <v>24</v>
      </c>
      <c r="H227" s="82">
        <v>2300</v>
      </c>
      <c r="I227" s="82">
        <v>3</v>
      </c>
      <c r="J227" s="84" t="s">
        <v>25</v>
      </c>
      <c r="K227" s="86">
        <v>1</v>
      </c>
      <c r="L227" s="82">
        <v>0</v>
      </c>
      <c r="M227" s="82">
        <f>G227*H227/5</f>
        <v>11040</v>
      </c>
      <c r="N227" s="82">
        <f>M227*0.15*5.5</f>
        <v>9108</v>
      </c>
      <c r="O227" s="82">
        <f>M227*6.6*5.5+N227*2</f>
        <v>418968</v>
      </c>
      <c r="P227" s="82">
        <v>1</v>
      </c>
      <c r="Q227" s="82">
        <v>1</v>
      </c>
      <c r="R227" s="82">
        <f t="shared" si="50"/>
        <v>1530000</v>
      </c>
      <c r="S227" s="82">
        <f t="shared" si="49"/>
        <v>1530000</v>
      </c>
      <c r="T227" s="82">
        <f t="shared" si="37"/>
        <v>0</v>
      </c>
      <c r="U227" s="82">
        <f t="shared" si="51"/>
        <v>1530000</v>
      </c>
    </row>
    <row r="228" spans="1:21" s="42" customFormat="1" ht="20.25" customHeight="1">
      <c r="A228" s="118">
        <v>82</v>
      </c>
      <c r="B228" s="80" t="s">
        <v>17</v>
      </c>
      <c r="C228" s="333" t="s">
        <v>527</v>
      </c>
      <c r="D228" s="105" t="s">
        <v>922</v>
      </c>
      <c r="E228" s="80" t="s">
        <v>495</v>
      </c>
      <c r="F228" s="80" t="s">
        <v>1177</v>
      </c>
      <c r="G228" s="66">
        <v>20</v>
      </c>
      <c r="H228" s="82">
        <v>1200</v>
      </c>
      <c r="I228" s="83">
        <v>2</v>
      </c>
      <c r="J228" s="84" t="s">
        <v>40</v>
      </c>
      <c r="K228" s="86">
        <v>1</v>
      </c>
      <c r="L228" s="86">
        <v>0</v>
      </c>
      <c r="M228" s="82">
        <f>G228*H228*5/100</f>
        <v>1200</v>
      </c>
      <c r="N228" s="82">
        <f>M228*0.15*7</f>
        <v>1260</v>
      </c>
      <c r="O228" s="82">
        <f>M228*6.6*7+N228*2</f>
        <v>57960</v>
      </c>
      <c r="P228" s="82">
        <v>1</v>
      </c>
      <c r="Q228" s="82">
        <v>1</v>
      </c>
      <c r="R228" s="82">
        <f t="shared" si="50"/>
        <v>1530000</v>
      </c>
      <c r="S228" s="82">
        <f t="shared" si="49"/>
        <v>1530000</v>
      </c>
      <c r="T228" s="82">
        <f t="shared" si="37"/>
        <v>0</v>
      </c>
      <c r="U228" s="82">
        <f t="shared" si="51"/>
        <v>1530000</v>
      </c>
    </row>
    <row r="229" spans="1:21" s="42" customFormat="1" ht="20.25" customHeight="1">
      <c r="A229" s="118">
        <v>83</v>
      </c>
      <c r="B229" s="80" t="s">
        <v>100</v>
      </c>
      <c r="C229" s="335" t="s">
        <v>528</v>
      </c>
      <c r="D229" s="261" t="s">
        <v>529</v>
      </c>
      <c r="E229" s="80" t="s">
        <v>378</v>
      </c>
      <c r="F229" s="80" t="s">
        <v>1183</v>
      </c>
      <c r="G229" s="66">
        <v>14</v>
      </c>
      <c r="H229" s="82">
        <v>1000</v>
      </c>
      <c r="I229" s="83">
        <v>2</v>
      </c>
      <c r="J229" s="84" t="s">
        <v>40</v>
      </c>
      <c r="K229" s="86">
        <v>1</v>
      </c>
      <c r="L229" s="82">
        <v>0</v>
      </c>
      <c r="M229" s="82">
        <f>(8*H229/5)+(18*H229*5/100)</f>
        <v>2500</v>
      </c>
      <c r="N229" s="82">
        <f>(8*H229/5*0.15*5.5)+(18*H229*5/100*0.15*7)</f>
        <v>2265</v>
      </c>
      <c r="O229" s="82">
        <f>((H229*8/5*6.6*5.5)+(H229*8/5*5.5*0.15*2))+((H229*18*5/100*6.6*7)+(H229*18*5/100*0.15*7*2))</f>
        <v>104190</v>
      </c>
      <c r="P229" s="82">
        <v>1</v>
      </c>
      <c r="Q229" s="82">
        <v>1</v>
      </c>
      <c r="R229" s="82">
        <f t="shared" si="50"/>
        <v>1530000</v>
      </c>
      <c r="S229" s="82">
        <f t="shared" si="49"/>
        <v>1530000</v>
      </c>
      <c r="T229" s="82">
        <f aca="true" t="shared" si="52" ref="T229:T259">L229*P229*Q229*R229</f>
        <v>0</v>
      </c>
      <c r="U229" s="82">
        <f t="shared" si="51"/>
        <v>1530000</v>
      </c>
    </row>
    <row r="230" spans="1:21" s="42" customFormat="1" ht="20.25" customHeight="1">
      <c r="A230" s="118">
        <v>84</v>
      </c>
      <c r="B230" s="80" t="s">
        <v>17</v>
      </c>
      <c r="C230" s="333" t="s">
        <v>570</v>
      </c>
      <c r="D230" s="105" t="s">
        <v>936</v>
      </c>
      <c r="E230" s="80" t="s">
        <v>402</v>
      </c>
      <c r="F230" s="80" t="s">
        <v>1138</v>
      </c>
      <c r="G230" s="66">
        <v>9</v>
      </c>
      <c r="H230" s="82">
        <v>1000</v>
      </c>
      <c r="I230" s="83">
        <v>1</v>
      </c>
      <c r="J230" s="84" t="s">
        <v>62</v>
      </c>
      <c r="K230" s="86">
        <v>1</v>
      </c>
      <c r="L230" s="86">
        <v>0</v>
      </c>
      <c r="M230" s="82">
        <f>G230*H230/5</f>
        <v>1800</v>
      </c>
      <c r="N230" s="82">
        <f>M230*0.15*5.5</f>
        <v>1485</v>
      </c>
      <c r="O230" s="82">
        <f>M230*6.6*5.5+N230*2</f>
        <v>68310</v>
      </c>
      <c r="P230" s="82">
        <v>1</v>
      </c>
      <c r="Q230" s="82">
        <v>1</v>
      </c>
      <c r="R230" s="82">
        <f t="shared" si="50"/>
        <v>1530000</v>
      </c>
      <c r="S230" s="82">
        <f t="shared" si="49"/>
        <v>1530000</v>
      </c>
      <c r="T230" s="82">
        <f t="shared" si="52"/>
        <v>0</v>
      </c>
      <c r="U230" s="82">
        <f t="shared" si="51"/>
        <v>1530000</v>
      </c>
    </row>
    <row r="231" spans="1:21" s="42" customFormat="1" ht="20.25" customHeight="1">
      <c r="A231" s="118">
        <v>85</v>
      </c>
      <c r="B231" s="80" t="s">
        <v>100</v>
      </c>
      <c r="C231" s="333" t="s">
        <v>530</v>
      </c>
      <c r="D231" s="105" t="s">
        <v>530</v>
      </c>
      <c r="E231" s="80" t="s">
        <v>378</v>
      </c>
      <c r="F231" s="80" t="s">
        <v>1133</v>
      </c>
      <c r="G231" s="66">
        <v>12</v>
      </c>
      <c r="H231" s="82">
        <v>500</v>
      </c>
      <c r="I231" s="82">
        <v>2</v>
      </c>
      <c r="J231" s="84" t="s">
        <v>40</v>
      </c>
      <c r="K231" s="86">
        <v>1</v>
      </c>
      <c r="L231" s="86">
        <v>0</v>
      </c>
      <c r="M231" s="82">
        <f>(8*H231/5)+(18*H231*5/100)</f>
        <v>1250</v>
      </c>
      <c r="N231" s="82">
        <f>(8*H231/5*0.15*5.5)+(18*H231*5/100*0.15*7)</f>
        <v>1132.5</v>
      </c>
      <c r="O231" s="82">
        <f>((H231*8/5*6.6*5.5)+(H231*8/5*5.5*0.15*2))+((H231*18*5/100*6.6*7)+(H231*18*5/100*0.15*7*2))</f>
        <v>52095</v>
      </c>
      <c r="P231" s="82">
        <v>1</v>
      </c>
      <c r="Q231" s="82">
        <v>1</v>
      </c>
      <c r="R231" s="82">
        <f t="shared" si="50"/>
        <v>1530000</v>
      </c>
      <c r="S231" s="82">
        <f t="shared" si="49"/>
        <v>1530000</v>
      </c>
      <c r="T231" s="82">
        <f t="shared" si="52"/>
        <v>0</v>
      </c>
      <c r="U231" s="82">
        <f t="shared" si="51"/>
        <v>1530000</v>
      </c>
    </row>
    <row r="232" spans="1:21" s="42" customFormat="1" ht="20.25" customHeight="1">
      <c r="A232" s="118">
        <v>86</v>
      </c>
      <c r="B232" s="80" t="s">
        <v>17</v>
      </c>
      <c r="C232" s="333" t="s">
        <v>808</v>
      </c>
      <c r="D232" s="105" t="s">
        <v>531</v>
      </c>
      <c r="E232" s="80" t="s">
        <v>374</v>
      </c>
      <c r="F232" s="80" t="s">
        <v>1138</v>
      </c>
      <c r="G232" s="66">
        <v>17</v>
      </c>
      <c r="H232" s="82">
        <v>1000</v>
      </c>
      <c r="I232" s="82">
        <v>3</v>
      </c>
      <c r="J232" s="84" t="s">
        <v>21</v>
      </c>
      <c r="K232" s="86">
        <v>1</v>
      </c>
      <c r="L232" s="86">
        <v>0</v>
      </c>
      <c r="M232" s="82">
        <f>(2*H232/5)+(12*H232*5/100)</f>
        <v>1000</v>
      </c>
      <c r="N232" s="82">
        <f>(2*H232/5*0.15*5.5)+(12*H232*5/100*0.15*7)</f>
        <v>960</v>
      </c>
      <c r="O232" s="82">
        <f>((H232*2/5*6.6*5.5)+(H232*2/5*5.5*0.15*2))+((H232*12*5/100*6.6*7)+(H232*12*5/100*0.15*7*2))</f>
        <v>44160</v>
      </c>
      <c r="P232" s="82">
        <v>1</v>
      </c>
      <c r="Q232" s="82">
        <v>1</v>
      </c>
      <c r="R232" s="82">
        <f t="shared" si="50"/>
        <v>1530000</v>
      </c>
      <c r="S232" s="82">
        <f t="shared" si="49"/>
        <v>1530000</v>
      </c>
      <c r="T232" s="82">
        <f t="shared" si="52"/>
        <v>0</v>
      </c>
      <c r="U232" s="82">
        <f t="shared" si="51"/>
        <v>1530000</v>
      </c>
    </row>
    <row r="233" spans="1:21" s="42" customFormat="1" ht="20.25" customHeight="1">
      <c r="A233" s="118">
        <v>87</v>
      </c>
      <c r="B233" s="80" t="s">
        <v>100</v>
      </c>
      <c r="C233" s="336" t="s">
        <v>532</v>
      </c>
      <c r="D233" s="262" t="s">
        <v>533</v>
      </c>
      <c r="E233" s="80" t="s">
        <v>384</v>
      </c>
      <c r="F233" s="80" t="s">
        <v>1138</v>
      </c>
      <c r="G233" s="66">
        <v>18</v>
      </c>
      <c r="H233" s="82">
        <v>1000</v>
      </c>
      <c r="I233" s="82">
        <v>2</v>
      </c>
      <c r="J233" s="84" t="s">
        <v>25</v>
      </c>
      <c r="K233" s="86">
        <v>1</v>
      </c>
      <c r="L233" s="82">
        <v>0</v>
      </c>
      <c r="M233" s="82">
        <f>(8*H233/5)+(18*H233*5/100)</f>
        <v>2500</v>
      </c>
      <c r="N233" s="82">
        <f>(8*H233/5*0.15*5.5)+(18*H233*5/100*0.15*7)</f>
        <v>2265</v>
      </c>
      <c r="O233" s="82">
        <f>((H233*8/5*6.6*5.5)+(H233*8/5*5.5*0.15*2))+((H233*18*5/100*6.6*7)+(H233*18*5/100*0.15*7*2))</f>
        <v>104190</v>
      </c>
      <c r="P233" s="82">
        <v>1</v>
      </c>
      <c r="Q233" s="82">
        <v>1</v>
      </c>
      <c r="R233" s="82">
        <f t="shared" si="50"/>
        <v>1530000</v>
      </c>
      <c r="S233" s="82">
        <f t="shared" si="49"/>
        <v>1530000</v>
      </c>
      <c r="T233" s="82">
        <f t="shared" si="52"/>
        <v>0</v>
      </c>
      <c r="U233" s="82">
        <f t="shared" si="51"/>
        <v>1530000</v>
      </c>
    </row>
    <row r="234" spans="1:21" s="42" customFormat="1" ht="20.25" customHeight="1">
      <c r="A234" s="118">
        <v>88</v>
      </c>
      <c r="B234" s="80" t="s">
        <v>100</v>
      </c>
      <c r="C234" s="336" t="s">
        <v>534</v>
      </c>
      <c r="D234" s="262" t="s">
        <v>533</v>
      </c>
      <c r="E234" s="80" t="s">
        <v>384</v>
      </c>
      <c r="F234" s="80" t="s">
        <v>1138</v>
      </c>
      <c r="G234" s="66">
        <v>18</v>
      </c>
      <c r="H234" s="82">
        <v>1000</v>
      </c>
      <c r="I234" s="82">
        <v>2</v>
      </c>
      <c r="J234" s="84" t="s">
        <v>25</v>
      </c>
      <c r="K234" s="86">
        <v>1</v>
      </c>
      <c r="L234" s="82">
        <v>0</v>
      </c>
      <c r="M234" s="82">
        <f>(8*H234/5)+(18*H234*5/100)</f>
        <v>2500</v>
      </c>
      <c r="N234" s="82">
        <f>(8*H234/5*0.15*5.5)+(18*H234*5/100*0.15*7)</f>
        <v>2265</v>
      </c>
      <c r="O234" s="82">
        <f>((H234*8/5*6.6*5.5)+(H234*8/5*5.5*0.15*2))+((H234*18*5/100*6.6*7)+(H234*18*5/100*0.15*7*2))</f>
        <v>104190</v>
      </c>
      <c r="P234" s="82">
        <v>1</v>
      </c>
      <c r="Q234" s="82">
        <v>1</v>
      </c>
      <c r="R234" s="82">
        <f t="shared" si="50"/>
        <v>1530000</v>
      </c>
      <c r="S234" s="82">
        <f t="shared" si="49"/>
        <v>1530000</v>
      </c>
      <c r="T234" s="82">
        <f t="shared" si="52"/>
        <v>0</v>
      </c>
      <c r="U234" s="82">
        <f t="shared" si="51"/>
        <v>1530000</v>
      </c>
    </row>
    <row r="235" spans="1:21" s="42" customFormat="1" ht="28.5" customHeight="1">
      <c r="A235" s="118">
        <v>89</v>
      </c>
      <c r="B235" s="80" t="s">
        <v>17</v>
      </c>
      <c r="C235" s="335" t="s">
        <v>535</v>
      </c>
      <c r="D235" s="261" t="s">
        <v>536</v>
      </c>
      <c r="E235" s="80" t="s">
        <v>495</v>
      </c>
      <c r="F235" s="80" t="s">
        <v>1138</v>
      </c>
      <c r="G235" s="66">
        <v>12</v>
      </c>
      <c r="H235" s="82">
        <v>800</v>
      </c>
      <c r="I235" s="83">
        <v>2</v>
      </c>
      <c r="J235" s="84" t="s">
        <v>40</v>
      </c>
      <c r="K235" s="86">
        <v>1</v>
      </c>
      <c r="L235" s="82">
        <v>0</v>
      </c>
      <c r="M235" s="82">
        <f>G235*H235/5</f>
        <v>1920</v>
      </c>
      <c r="N235" s="82">
        <f>M235*0.15*5.5</f>
        <v>1584</v>
      </c>
      <c r="O235" s="82">
        <f>M235*6.6*5.5+N235*2</f>
        <v>72864</v>
      </c>
      <c r="P235" s="82">
        <v>1</v>
      </c>
      <c r="Q235" s="82">
        <v>1</v>
      </c>
      <c r="R235" s="82">
        <f t="shared" si="50"/>
        <v>1530000</v>
      </c>
      <c r="S235" s="82">
        <f t="shared" si="49"/>
        <v>1530000</v>
      </c>
      <c r="T235" s="82">
        <f t="shared" si="52"/>
        <v>0</v>
      </c>
      <c r="U235" s="82">
        <f t="shared" si="51"/>
        <v>1530000</v>
      </c>
    </row>
    <row r="236" spans="1:21" s="42" customFormat="1" ht="20.25" customHeight="1">
      <c r="A236" s="118">
        <v>90</v>
      </c>
      <c r="B236" s="80" t="s">
        <v>46</v>
      </c>
      <c r="C236" s="336" t="s">
        <v>537</v>
      </c>
      <c r="D236" s="262" t="s">
        <v>538</v>
      </c>
      <c r="E236" s="80" t="s">
        <v>483</v>
      </c>
      <c r="F236" s="80" t="s">
        <v>1134</v>
      </c>
      <c r="G236" s="66">
        <v>27</v>
      </c>
      <c r="H236" s="82">
        <f>3000-H235</f>
        <v>2200</v>
      </c>
      <c r="I236" s="82">
        <v>4</v>
      </c>
      <c r="J236" s="84" t="s">
        <v>40</v>
      </c>
      <c r="K236" s="86">
        <v>1</v>
      </c>
      <c r="L236" s="82">
        <v>0</v>
      </c>
      <c r="M236" s="82">
        <f>(5*H236/5)+(13*H236*5/100)</f>
        <v>3630</v>
      </c>
      <c r="N236" s="82">
        <f>(5*H236/5*0.15*5.5)+(13*H236*5/100*0.15*7)</f>
        <v>3316.5</v>
      </c>
      <c r="O236" s="82">
        <f>((H236*5/5*6.6*5.5)+(H236*5/5*5.5*0.15*2))+((H236*13*5/100*6.6*7)+(H236*13*5/100*0.15*7*2))</f>
        <v>152559</v>
      </c>
      <c r="P236" s="82">
        <v>1</v>
      </c>
      <c r="Q236" s="82">
        <v>1</v>
      </c>
      <c r="R236" s="82">
        <f t="shared" si="50"/>
        <v>1530000</v>
      </c>
      <c r="S236" s="82">
        <f t="shared" si="49"/>
        <v>1530000</v>
      </c>
      <c r="T236" s="82">
        <f t="shared" si="52"/>
        <v>0</v>
      </c>
      <c r="U236" s="82">
        <f t="shared" si="51"/>
        <v>1530000</v>
      </c>
    </row>
    <row r="237" spans="1:21" s="42" customFormat="1" ht="20.25" customHeight="1">
      <c r="A237" s="118">
        <v>91</v>
      </c>
      <c r="B237" s="80" t="s">
        <v>17</v>
      </c>
      <c r="C237" s="336" t="s">
        <v>539</v>
      </c>
      <c r="D237" s="262" t="s">
        <v>538</v>
      </c>
      <c r="E237" s="80" t="s">
        <v>483</v>
      </c>
      <c r="F237" s="80" t="s">
        <v>1135</v>
      </c>
      <c r="G237" s="66">
        <v>9</v>
      </c>
      <c r="H237" s="82">
        <f>3000/35*9</f>
        <v>771.4285714285713</v>
      </c>
      <c r="I237" s="82">
        <v>2</v>
      </c>
      <c r="J237" s="84" t="s">
        <v>77</v>
      </c>
      <c r="K237" s="86">
        <v>1</v>
      </c>
      <c r="L237" s="82">
        <v>0</v>
      </c>
      <c r="M237" s="82">
        <f>(5*H237/5)+(13*H237*5/100)</f>
        <v>1272.8571428571427</v>
      </c>
      <c r="N237" s="82">
        <f>(5*H237/5*0.15*5.5)+(13*H237*5/100*0.15*7)</f>
        <v>1162.9285714285713</v>
      </c>
      <c r="O237" s="82">
        <f>((H237*5/5*6.6*5.5)+(H237*5/5*5.5*0.15*2))+((H237*13*5/100*6.6*7)+(H237*13*5/100*0.15*7*2))</f>
        <v>53494.714285714275</v>
      </c>
      <c r="P237" s="82">
        <v>1</v>
      </c>
      <c r="Q237" s="82">
        <v>1</v>
      </c>
      <c r="R237" s="82">
        <f t="shared" si="50"/>
        <v>1530000</v>
      </c>
      <c r="S237" s="82">
        <f t="shared" si="49"/>
        <v>1530000</v>
      </c>
      <c r="T237" s="82">
        <f t="shared" si="52"/>
        <v>0</v>
      </c>
      <c r="U237" s="82">
        <f t="shared" si="51"/>
        <v>1530000</v>
      </c>
    </row>
    <row r="238" spans="1:21" s="42" customFormat="1" ht="28.5" customHeight="1">
      <c r="A238" s="118">
        <v>92</v>
      </c>
      <c r="B238" s="80" t="s">
        <v>46</v>
      </c>
      <c r="C238" s="336" t="s">
        <v>540</v>
      </c>
      <c r="D238" s="262" t="s">
        <v>541</v>
      </c>
      <c r="E238" s="80" t="s">
        <v>483</v>
      </c>
      <c r="F238" s="80" t="s">
        <v>1138</v>
      </c>
      <c r="G238" s="66">
        <v>28</v>
      </c>
      <c r="H238" s="82">
        <v>1000</v>
      </c>
      <c r="I238" s="82">
        <v>2</v>
      </c>
      <c r="J238" s="84" t="s">
        <v>40</v>
      </c>
      <c r="K238" s="86">
        <v>1</v>
      </c>
      <c r="L238" s="82">
        <v>0</v>
      </c>
      <c r="M238" s="82">
        <f>G238*H238/5</f>
        <v>5600</v>
      </c>
      <c r="N238" s="82">
        <f>M238*0.15*5.5</f>
        <v>4620</v>
      </c>
      <c r="O238" s="82">
        <f>M238*6.6*5.5+N238*2</f>
        <v>212520</v>
      </c>
      <c r="P238" s="82">
        <v>1</v>
      </c>
      <c r="Q238" s="82">
        <v>1</v>
      </c>
      <c r="R238" s="82">
        <f t="shared" si="50"/>
        <v>1530000</v>
      </c>
      <c r="S238" s="82">
        <f t="shared" si="49"/>
        <v>1530000</v>
      </c>
      <c r="T238" s="82">
        <f t="shared" si="52"/>
        <v>0</v>
      </c>
      <c r="U238" s="82">
        <f t="shared" si="51"/>
        <v>1530000</v>
      </c>
    </row>
    <row r="239" spans="1:21" s="42" customFormat="1" ht="30" customHeight="1">
      <c r="A239" s="118">
        <v>93</v>
      </c>
      <c r="B239" s="80" t="s">
        <v>17</v>
      </c>
      <c r="C239" s="336" t="s">
        <v>542</v>
      </c>
      <c r="D239" s="262" t="s">
        <v>541</v>
      </c>
      <c r="E239" s="80" t="s">
        <v>483</v>
      </c>
      <c r="F239" s="80" t="s">
        <v>1138</v>
      </c>
      <c r="G239" s="66">
        <v>5</v>
      </c>
      <c r="H239" s="82">
        <v>1000</v>
      </c>
      <c r="I239" s="82">
        <v>2</v>
      </c>
      <c r="J239" s="84" t="s">
        <v>62</v>
      </c>
      <c r="K239" s="86">
        <v>1</v>
      </c>
      <c r="L239" s="82">
        <v>0</v>
      </c>
      <c r="M239" s="82">
        <f>G239*H239*5/100</f>
        <v>250</v>
      </c>
      <c r="N239" s="82">
        <f>M239*0.15*7</f>
        <v>262.5</v>
      </c>
      <c r="O239" s="82">
        <f>M239*6.6*7+N239*2</f>
        <v>12075</v>
      </c>
      <c r="P239" s="82">
        <v>1</v>
      </c>
      <c r="Q239" s="82">
        <v>1</v>
      </c>
      <c r="R239" s="82">
        <f t="shared" si="50"/>
        <v>1530000</v>
      </c>
      <c r="S239" s="82">
        <f t="shared" si="49"/>
        <v>1530000</v>
      </c>
      <c r="T239" s="82">
        <f t="shared" si="52"/>
        <v>0</v>
      </c>
      <c r="U239" s="82">
        <f t="shared" si="51"/>
        <v>1530000</v>
      </c>
    </row>
    <row r="240" spans="1:21" s="42" customFormat="1" ht="20.25" customHeight="1">
      <c r="A240" s="118">
        <v>94</v>
      </c>
      <c r="B240" s="80" t="s">
        <v>17</v>
      </c>
      <c r="C240" s="333" t="s">
        <v>544</v>
      </c>
      <c r="D240" s="105" t="s">
        <v>545</v>
      </c>
      <c r="E240" s="80" t="s">
        <v>402</v>
      </c>
      <c r="F240" s="80" t="s">
        <v>1138</v>
      </c>
      <c r="G240" s="66">
        <v>10</v>
      </c>
      <c r="H240" s="82">
        <v>600</v>
      </c>
      <c r="I240" s="83">
        <v>2</v>
      </c>
      <c r="J240" s="84" t="s">
        <v>40</v>
      </c>
      <c r="K240" s="86">
        <v>1</v>
      </c>
      <c r="L240" s="86">
        <v>0</v>
      </c>
      <c r="M240" s="82">
        <f>G240*H240/5</f>
        <v>1200</v>
      </c>
      <c r="N240" s="82">
        <f>M240*0.15*5.5</f>
        <v>990</v>
      </c>
      <c r="O240" s="82">
        <f>M240*6.6*5.5+N240*2</f>
        <v>45540</v>
      </c>
      <c r="P240" s="82">
        <v>1</v>
      </c>
      <c r="Q240" s="82">
        <v>1</v>
      </c>
      <c r="R240" s="82">
        <f t="shared" si="50"/>
        <v>1530000</v>
      </c>
      <c r="S240" s="82">
        <f t="shared" si="49"/>
        <v>1530000</v>
      </c>
      <c r="T240" s="82">
        <f t="shared" si="52"/>
        <v>0</v>
      </c>
      <c r="U240" s="82">
        <f t="shared" si="51"/>
        <v>1530000</v>
      </c>
    </row>
    <row r="241" spans="1:21" s="42" customFormat="1" ht="20.25" customHeight="1">
      <c r="A241" s="118">
        <v>95</v>
      </c>
      <c r="B241" s="80" t="s">
        <v>100</v>
      </c>
      <c r="C241" s="335" t="s">
        <v>546</v>
      </c>
      <c r="D241" s="261" t="s">
        <v>547</v>
      </c>
      <c r="E241" s="80" t="s">
        <v>378</v>
      </c>
      <c r="F241" s="80" t="s">
        <v>1138</v>
      </c>
      <c r="G241" s="66">
        <v>22</v>
      </c>
      <c r="H241" s="82">
        <v>1700</v>
      </c>
      <c r="I241" s="83">
        <v>4</v>
      </c>
      <c r="J241" s="84" t="s">
        <v>43</v>
      </c>
      <c r="K241" s="86">
        <v>1</v>
      </c>
      <c r="L241" s="86">
        <v>0</v>
      </c>
      <c r="M241" s="82">
        <f>(8*H241/5)+(18*H241*5/100)</f>
        <v>4250</v>
      </c>
      <c r="N241" s="82">
        <f>(8*H241/5*0.15*5.5)+(18*H241*5/100*0.15*7)</f>
        <v>3850.5</v>
      </c>
      <c r="O241" s="82">
        <f>((H241*8/5*6.6*5.5)+(H241*8/5*5.5*0.15*2))+((H241*18*5/100*6.6*7)+(H241*18*5/100*0.15*7*2))</f>
        <v>177123</v>
      </c>
      <c r="P241" s="82">
        <v>1</v>
      </c>
      <c r="Q241" s="82">
        <v>1</v>
      </c>
      <c r="R241" s="82">
        <f t="shared" si="50"/>
        <v>1530000</v>
      </c>
      <c r="S241" s="82">
        <f t="shared" si="49"/>
        <v>1530000</v>
      </c>
      <c r="T241" s="82">
        <f t="shared" si="52"/>
        <v>0</v>
      </c>
      <c r="U241" s="82">
        <f t="shared" si="51"/>
        <v>1530000</v>
      </c>
    </row>
    <row r="242" spans="1:21" s="42" customFormat="1" ht="20.25" customHeight="1">
      <c r="A242" s="118">
        <v>96</v>
      </c>
      <c r="B242" s="80" t="s">
        <v>46</v>
      </c>
      <c r="C242" s="336" t="s">
        <v>548</v>
      </c>
      <c r="D242" s="262" t="s">
        <v>549</v>
      </c>
      <c r="E242" s="80" t="s">
        <v>378</v>
      </c>
      <c r="F242" s="80" t="s">
        <v>1138</v>
      </c>
      <c r="G242" s="66">
        <v>10</v>
      </c>
      <c r="H242" s="82">
        <v>1000</v>
      </c>
      <c r="I242" s="82">
        <v>1</v>
      </c>
      <c r="J242" s="84" t="s">
        <v>62</v>
      </c>
      <c r="K242" s="86">
        <v>1</v>
      </c>
      <c r="L242" s="82">
        <v>0</v>
      </c>
      <c r="M242" s="82">
        <f>G242*H242/5</f>
        <v>2000</v>
      </c>
      <c r="N242" s="82">
        <f>M242*0.15*5.5</f>
        <v>1650</v>
      </c>
      <c r="O242" s="82">
        <f>M242*6.6*5.5+N242*2</f>
        <v>75900</v>
      </c>
      <c r="P242" s="82">
        <v>1</v>
      </c>
      <c r="Q242" s="82">
        <v>1</v>
      </c>
      <c r="R242" s="82">
        <f t="shared" si="50"/>
        <v>1530000</v>
      </c>
      <c r="S242" s="82">
        <f t="shared" si="49"/>
        <v>1530000</v>
      </c>
      <c r="T242" s="82">
        <f t="shared" si="52"/>
        <v>0</v>
      </c>
      <c r="U242" s="82">
        <f t="shared" si="51"/>
        <v>1530000</v>
      </c>
    </row>
    <row r="243" spans="1:21" s="42" customFormat="1" ht="20.25" customHeight="1">
      <c r="A243" s="118">
        <v>97</v>
      </c>
      <c r="B243" s="80" t="s">
        <v>46</v>
      </c>
      <c r="C243" s="336" t="s">
        <v>550</v>
      </c>
      <c r="D243" s="262" t="s">
        <v>551</v>
      </c>
      <c r="E243" s="80" t="s">
        <v>378</v>
      </c>
      <c r="F243" s="80" t="s">
        <v>1138</v>
      </c>
      <c r="G243" s="66">
        <v>8</v>
      </c>
      <c r="H243" s="82">
        <v>1000</v>
      </c>
      <c r="I243" s="82">
        <v>1</v>
      </c>
      <c r="J243" s="84" t="s">
        <v>77</v>
      </c>
      <c r="K243" s="86">
        <v>1</v>
      </c>
      <c r="L243" s="82">
        <v>0</v>
      </c>
      <c r="M243" s="82">
        <f>G243*H243/5</f>
        <v>1600</v>
      </c>
      <c r="N243" s="82">
        <f>M243*0.15*5.5</f>
        <v>1320</v>
      </c>
      <c r="O243" s="82">
        <f>M243*6.6*5.5+N243*2</f>
        <v>60720</v>
      </c>
      <c r="P243" s="82">
        <v>1</v>
      </c>
      <c r="Q243" s="82">
        <v>1</v>
      </c>
      <c r="R243" s="82">
        <f t="shared" si="50"/>
        <v>1530000</v>
      </c>
      <c r="S243" s="82">
        <f t="shared" si="49"/>
        <v>1530000</v>
      </c>
      <c r="T243" s="82">
        <f t="shared" si="52"/>
        <v>0</v>
      </c>
      <c r="U243" s="82">
        <f t="shared" si="51"/>
        <v>1530000</v>
      </c>
    </row>
    <row r="244" spans="1:21" s="42" customFormat="1" ht="20.25" customHeight="1">
      <c r="A244" s="118">
        <v>98</v>
      </c>
      <c r="B244" s="80" t="s">
        <v>46</v>
      </c>
      <c r="C244" s="336" t="s">
        <v>552</v>
      </c>
      <c r="D244" s="262" t="s">
        <v>553</v>
      </c>
      <c r="E244" s="80" t="s">
        <v>378</v>
      </c>
      <c r="F244" s="80" t="s">
        <v>1138</v>
      </c>
      <c r="G244" s="66">
        <v>11</v>
      </c>
      <c r="H244" s="82">
        <v>1000</v>
      </c>
      <c r="I244" s="82">
        <v>1</v>
      </c>
      <c r="J244" s="84" t="s">
        <v>62</v>
      </c>
      <c r="K244" s="86">
        <v>1</v>
      </c>
      <c r="L244" s="82">
        <v>0</v>
      </c>
      <c r="M244" s="82">
        <f>(7*H244/5)+(15*H244*5/100)</f>
        <v>2150</v>
      </c>
      <c r="N244" s="82">
        <f>(7*H244/5*0.15*5.5)+(15*H244*5/100*0.15*7)</f>
        <v>1942.5</v>
      </c>
      <c r="O244" s="82">
        <f>((H244*7/5*6.6*5.5)+(H244*7/5*5.5*0.15*2))+((H244*15*5/100*6.6*7)+(H244*15*5/100*0.15*7*2))</f>
        <v>89355</v>
      </c>
      <c r="P244" s="82">
        <v>1</v>
      </c>
      <c r="Q244" s="82">
        <v>1</v>
      </c>
      <c r="R244" s="82">
        <f t="shared" si="50"/>
        <v>1530000</v>
      </c>
      <c r="S244" s="82">
        <f t="shared" si="49"/>
        <v>1530000</v>
      </c>
      <c r="T244" s="82">
        <f t="shared" si="52"/>
        <v>0</v>
      </c>
      <c r="U244" s="82">
        <f t="shared" si="51"/>
        <v>1530000</v>
      </c>
    </row>
    <row r="245" spans="1:21" s="42" customFormat="1" ht="26.25" customHeight="1">
      <c r="A245" s="118">
        <v>99</v>
      </c>
      <c r="B245" s="80" t="s">
        <v>17</v>
      </c>
      <c r="C245" s="336" t="s">
        <v>809</v>
      </c>
      <c r="D245" s="262" t="s">
        <v>554</v>
      </c>
      <c r="E245" s="80" t="s">
        <v>389</v>
      </c>
      <c r="F245" s="80" t="s">
        <v>1138</v>
      </c>
      <c r="G245" s="66">
        <v>15</v>
      </c>
      <c r="H245" s="82">
        <v>3000</v>
      </c>
      <c r="I245" s="82">
        <v>4</v>
      </c>
      <c r="J245" s="84" t="s">
        <v>21</v>
      </c>
      <c r="K245" s="86">
        <v>1</v>
      </c>
      <c r="L245" s="86">
        <v>0</v>
      </c>
      <c r="M245" s="82">
        <f>G245*H245*5/100</f>
        <v>2250</v>
      </c>
      <c r="N245" s="82">
        <f>M245*0.15*7</f>
        <v>2362.5</v>
      </c>
      <c r="O245" s="82">
        <f>M245*6.6*7+N245*2</f>
        <v>108675</v>
      </c>
      <c r="P245" s="82">
        <v>1</v>
      </c>
      <c r="Q245" s="82">
        <v>1</v>
      </c>
      <c r="R245" s="82">
        <f t="shared" si="50"/>
        <v>1530000</v>
      </c>
      <c r="S245" s="82">
        <f t="shared" si="49"/>
        <v>1530000</v>
      </c>
      <c r="T245" s="82">
        <f t="shared" si="52"/>
        <v>0</v>
      </c>
      <c r="U245" s="82">
        <f t="shared" si="51"/>
        <v>1530000</v>
      </c>
    </row>
    <row r="246" spans="1:21" s="42" customFormat="1" ht="20.25" customHeight="1">
      <c r="A246" s="118">
        <v>100</v>
      </c>
      <c r="B246" s="80" t="s">
        <v>100</v>
      </c>
      <c r="C246" s="336" t="s">
        <v>555</v>
      </c>
      <c r="D246" s="262" t="s">
        <v>556</v>
      </c>
      <c r="E246" s="80" t="s">
        <v>374</v>
      </c>
      <c r="F246" s="80" t="s">
        <v>1138</v>
      </c>
      <c r="G246" s="66">
        <v>10</v>
      </c>
      <c r="H246" s="82">
        <v>800</v>
      </c>
      <c r="I246" s="82">
        <v>2</v>
      </c>
      <c r="J246" s="84" t="s">
        <v>62</v>
      </c>
      <c r="K246" s="86">
        <v>1</v>
      </c>
      <c r="L246" s="82">
        <v>0</v>
      </c>
      <c r="M246" s="82">
        <f>(8*H246/5)+(18*H246*5/100)</f>
        <v>2000</v>
      </c>
      <c r="N246" s="82">
        <f>(8*H246/5*0.15*5.5)+(18*H246*5/100*0.15*7)</f>
        <v>1812</v>
      </c>
      <c r="O246" s="82">
        <f>((H246*8/5*6.6*5.5)+(H246*8/5*5.5*0.15*2))+((H246*18*5/100*6.6*7)+(H246*18*5/100*0.15*7*2))</f>
        <v>83352</v>
      </c>
      <c r="P246" s="82">
        <v>1</v>
      </c>
      <c r="Q246" s="82">
        <v>1</v>
      </c>
      <c r="R246" s="82">
        <f t="shared" si="50"/>
        <v>1530000</v>
      </c>
      <c r="S246" s="82">
        <f t="shared" si="49"/>
        <v>1530000</v>
      </c>
      <c r="T246" s="82">
        <f t="shared" si="52"/>
        <v>0</v>
      </c>
      <c r="U246" s="82">
        <f t="shared" si="51"/>
        <v>1530000</v>
      </c>
    </row>
    <row r="247" spans="1:21" s="42" customFormat="1" ht="20.25" customHeight="1">
      <c r="A247" s="118">
        <v>101</v>
      </c>
      <c r="B247" s="80" t="s">
        <v>17</v>
      </c>
      <c r="C247" s="333" t="s">
        <v>557</v>
      </c>
      <c r="D247" s="261" t="s">
        <v>558</v>
      </c>
      <c r="E247" s="80" t="s">
        <v>384</v>
      </c>
      <c r="F247" s="80" t="s">
        <v>1138</v>
      </c>
      <c r="G247" s="66">
        <v>11</v>
      </c>
      <c r="H247" s="82">
        <v>700</v>
      </c>
      <c r="I247" s="82">
        <v>2</v>
      </c>
      <c r="J247" s="84" t="s">
        <v>62</v>
      </c>
      <c r="K247" s="86">
        <v>1</v>
      </c>
      <c r="L247" s="82">
        <v>0</v>
      </c>
      <c r="M247" s="82">
        <f>G247*H247*5/100</f>
        <v>385</v>
      </c>
      <c r="N247" s="82">
        <f>M247*0.15*7</f>
        <v>404.25</v>
      </c>
      <c r="O247" s="82">
        <f>M247*6.6*7+N247*2</f>
        <v>18595.5</v>
      </c>
      <c r="P247" s="82">
        <v>1</v>
      </c>
      <c r="Q247" s="82">
        <v>1</v>
      </c>
      <c r="R247" s="82">
        <f t="shared" si="50"/>
        <v>1530000</v>
      </c>
      <c r="S247" s="82">
        <f t="shared" si="49"/>
        <v>1530000</v>
      </c>
      <c r="T247" s="82">
        <f t="shared" si="52"/>
        <v>0</v>
      </c>
      <c r="U247" s="82">
        <f t="shared" si="51"/>
        <v>1530000</v>
      </c>
    </row>
    <row r="248" spans="1:21" s="42" customFormat="1" ht="27" customHeight="1">
      <c r="A248" s="118">
        <v>102</v>
      </c>
      <c r="B248" s="80" t="s">
        <v>17</v>
      </c>
      <c r="C248" s="336" t="s">
        <v>932</v>
      </c>
      <c r="D248" s="262" t="s">
        <v>559</v>
      </c>
      <c r="E248" s="80" t="s">
        <v>374</v>
      </c>
      <c r="F248" s="80" t="s">
        <v>1138</v>
      </c>
      <c r="G248" s="66">
        <v>10</v>
      </c>
      <c r="H248" s="82">
        <v>900</v>
      </c>
      <c r="I248" s="82">
        <v>2</v>
      </c>
      <c r="J248" s="84" t="s">
        <v>77</v>
      </c>
      <c r="K248" s="86">
        <v>1</v>
      </c>
      <c r="L248" s="82">
        <v>0</v>
      </c>
      <c r="M248" s="82">
        <f>G248*H248/5</f>
        <v>1800</v>
      </c>
      <c r="N248" s="82">
        <f aca="true" t="shared" si="53" ref="N248:N257">M248*0.15*5.5</f>
        <v>1485</v>
      </c>
      <c r="O248" s="82">
        <f aca="true" t="shared" si="54" ref="O248:O257">M248*6.6*5.5+N248*2</f>
        <v>68310</v>
      </c>
      <c r="P248" s="82">
        <v>1</v>
      </c>
      <c r="Q248" s="82">
        <v>1</v>
      </c>
      <c r="R248" s="82">
        <f t="shared" si="50"/>
        <v>1530000</v>
      </c>
      <c r="S248" s="82">
        <f t="shared" si="49"/>
        <v>1530000</v>
      </c>
      <c r="T248" s="82">
        <f t="shared" si="52"/>
        <v>0</v>
      </c>
      <c r="U248" s="82">
        <f t="shared" si="51"/>
        <v>1530000</v>
      </c>
    </row>
    <row r="249" spans="1:21" s="42" customFormat="1" ht="20.25" customHeight="1">
      <c r="A249" s="118">
        <v>103</v>
      </c>
      <c r="B249" s="80" t="s">
        <v>17</v>
      </c>
      <c r="C249" s="333" t="s">
        <v>560</v>
      </c>
      <c r="D249" s="105" t="s">
        <v>561</v>
      </c>
      <c r="E249" s="80" t="s">
        <v>389</v>
      </c>
      <c r="F249" s="80" t="s">
        <v>1179</v>
      </c>
      <c r="G249" s="66">
        <v>13</v>
      </c>
      <c r="H249" s="82">
        <v>400</v>
      </c>
      <c r="I249" s="83">
        <v>2</v>
      </c>
      <c r="J249" s="84" t="s">
        <v>62</v>
      </c>
      <c r="K249" s="86">
        <v>1</v>
      </c>
      <c r="L249" s="86">
        <v>0</v>
      </c>
      <c r="M249" s="82">
        <f>(3*H249/5)+(7*H249*5/100)</f>
        <v>380</v>
      </c>
      <c r="N249" s="82">
        <f>(3*H249/5*0.15*5.5)+(7*H249*5/100*0.15*7)</f>
        <v>345</v>
      </c>
      <c r="O249" s="82">
        <f>((H249*3/5*6.6*5.5)+(H249*3/5*5.5*0.15*2))+((H249*7*5/100*6.6*7)+(H249*7*5/100*0.15*7*2))</f>
        <v>15870</v>
      </c>
      <c r="P249" s="82">
        <v>1</v>
      </c>
      <c r="Q249" s="82">
        <v>1</v>
      </c>
      <c r="R249" s="82">
        <f t="shared" si="50"/>
        <v>1530000</v>
      </c>
      <c r="S249" s="82">
        <f t="shared" si="49"/>
        <v>1530000</v>
      </c>
      <c r="T249" s="82">
        <f t="shared" si="52"/>
        <v>0</v>
      </c>
      <c r="U249" s="82">
        <f t="shared" si="51"/>
        <v>1530000</v>
      </c>
    </row>
    <row r="250" spans="1:21" s="42" customFormat="1" ht="20.25" customHeight="1">
      <c r="A250" s="118">
        <v>104</v>
      </c>
      <c r="B250" s="80" t="s">
        <v>17</v>
      </c>
      <c r="C250" s="335" t="s">
        <v>562</v>
      </c>
      <c r="D250" s="261" t="s">
        <v>563</v>
      </c>
      <c r="E250" s="80" t="s">
        <v>386</v>
      </c>
      <c r="F250" s="80" t="s">
        <v>1531</v>
      </c>
      <c r="G250" s="66">
        <v>9</v>
      </c>
      <c r="H250" s="82">
        <v>500</v>
      </c>
      <c r="I250" s="83">
        <v>1</v>
      </c>
      <c r="J250" s="84" t="s">
        <v>77</v>
      </c>
      <c r="K250" s="86">
        <v>1</v>
      </c>
      <c r="L250" s="86">
        <v>0</v>
      </c>
      <c r="M250" s="82">
        <f>G250*H250/5</f>
        <v>900</v>
      </c>
      <c r="N250" s="82">
        <f t="shared" si="53"/>
        <v>742.5</v>
      </c>
      <c r="O250" s="82">
        <f t="shared" si="54"/>
        <v>34155</v>
      </c>
      <c r="P250" s="82">
        <v>1</v>
      </c>
      <c r="Q250" s="82">
        <v>1</v>
      </c>
      <c r="R250" s="82">
        <f t="shared" si="50"/>
        <v>1530000</v>
      </c>
      <c r="S250" s="82">
        <f t="shared" si="49"/>
        <v>1530000</v>
      </c>
      <c r="T250" s="82">
        <f t="shared" si="52"/>
        <v>0</v>
      </c>
      <c r="U250" s="82">
        <f t="shared" si="51"/>
        <v>1530000</v>
      </c>
    </row>
    <row r="251" spans="1:21" s="42" customFormat="1" ht="27" customHeight="1">
      <c r="A251" s="118">
        <v>105</v>
      </c>
      <c r="B251" s="80" t="s">
        <v>17</v>
      </c>
      <c r="C251" s="333" t="s">
        <v>571</v>
      </c>
      <c r="D251" s="105" t="s">
        <v>572</v>
      </c>
      <c r="E251" s="80" t="s">
        <v>374</v>
      </c>
      <c r="F251" s="80" t="s">
        <v>1138</v>
      </c>
      <c r="G251" s="66">
        <v>10</v>
      </c>
      <c r="H251" s="82">
        <v>800</v>
      </c>
      <c r="I251" s="83">
        <v>2</v>
      </c>
      <c r="J251" s="84" t="s">
        <v>62</v>
      </c>
      <c r="K251" s="86">
        <v>1</v>
      </c>
      <c r="L251" s="86">
        <v>0</v>
      </c>
      <c r="M251" s="82">
        <f>G251*H251/5</f>
        <v>1600</v>
      </c>
      <c r="N251" s="82">
        <f t="shared" si="53"/>
        <v>1320</v>
      </c>
      <c r="O251" s="82">
        <f t="shared" si="54"/>
        <v>60720</v>
      </c>
      <c r="P251" s="82">
        <v>1</v>
      </c>
      <c r="Q251" s="82">
        <v>1</v>
      </c>
      <c r="R251" s="82">
        <f t="shared" si="50"/>
        <v>1530000</v>
      </c>
      <c r="S251" s="82">
        <f t="shared" si="49"/>
        <v>1530000</v>
      </c>
      <c r="T251" s="82">
        <f t="shared" si="52"/>
        <v>0</v>
      </c>
      <c r="U251" s="82">
        <f t="shared" si="51"/>
        <v>1530000</v>
      </c>
    </row>
    <row r="252" spans="1:21" s="42" customFormat="1" ht="20.25" customHeight="1">
      <c r="A252" s="118">
        <v>106</v>
      </c>
      <c r="B252" s="80" t="s">
        <v>100</v>
      </c>
      <c r="C252" s="333" t="s">
        <v>564</v>
      </c>
      <c r="D252" s="261" t="s">
        <v>565</v>
      </c>
      <c r="E252" s="80" t="s">
        <v>389</v>
      </c>
      <c r="F252" s="81" t="s">
        <v>1112</v>
      </c>
      <c r="G252" s="66">
        <v>22</v>
      </c>
      <c r="H252" s="82">
        <v>1500</v>
      </c>
      <c r="I252" s="82">
        <v>6</v>
      </c>
      <c r="J252" s="84" t="s">
        <v>21</v>
      </c>
      <c r="K252" s="86">
        <v>1</v>
      </c>
      <c r="L252" s="82">
        <v>0</v>
      </c>
      <c r="M252" s="82">
        <f>(8*H252/5)+(18*H252*5/100)</f>
        <v>3750</v>
      </c>
      <c r="N252" s="82">
        <f>(8*H252/5*0.15*5.5)+(18*H252*5/100*0.15*7)</f>
        <v>3397.5</v>
      </c>
      <c r="O252" s="82">
        <f>((H252*8/5*6.6*5.5)+(H252*8/5*5.5*0.15*2))+((H252*18*5/100*6.6*7)+(H252*18*5/100*0.15*7*2))</f>
        <v>156285</v>
      </c>
      <c r="P252" s="82">
        <v>1</v>
      </c>
      <c r="Q252" s="82">
        <v>1</v>
      </c>
      <c r="R252" s="82">
        <f t="shared" si="50"/>
        <v>1530000</v>
      </c>
      <c r="S252" s="82">
        <f t="shared" si="49"/>
        <v>1530000</v>
      </c>
      <c r="T252" s="82">
        <f t="shared" si="52"/>
        <v>0</v>
      </c>
      <c r="U252" s="82">
        <f t="shared" si="51"/>
        <v>1530000</v>
      </c>
    </row>
    <row r="253" spans="1:21" s="42" customFormat="1" ht="20.25" customHeight="1">
      <c r="A253" s="118">
        <v>107</v>
      </c>
      <c r="B253" s="80" t="s">
        <v>17</v>
      </c>
      <c r="C253" s="335" t="s">
        <v>566</v>
      </c>
      <c r="D253" s="261" t="s">
        <v>567</v>
      </c>
      <c r="E253" s="80" t="s">
        <v>386</v>
      </c>
      <c r="F253" s="80" t="s">
        <v>1138</v>
      </c>
      <c r="G253" s="66">
        <v>10</v>
      </c>
      <c r="H253" s="82">
        <v>1000</v>
      </c>
      <c r="I253" s="83">
        <v>2</v>
      </c>
      <c r="J253" s="84" t="s">
        <v>62</v>
      </c>
      <c r="K253" s="86">
        <v>1</v>
      </c>
      <c r="L253" s="86">
        <v>0</v>
      </c>
      <c r="M253" s="82">
        <f>G253*H253/5</f>
        <v>2000</v>
      </c>
      <c r="N253" s="82">
        <f t="shared" si="53"/>
        <v>1650</v>
      </c>
      <c r="O253" s="82">
        <f t="shared" si="54"/>
        <v>75900</v>
      </c>
      <c r="P253" s="82">
        <v>1</v>
      </c>
      <c r="Q253" s="82">
        <v>1</v>
      </c>
      <c r="R253" s="82">
        <f t="shared" si="50"/>
        <v>1530000</v>
      </c>
      <c r="S253" s="82">
        <f t="shared" si="49"/>
        <v>1530000</v>
      </c>
      <c r="T253" s="82">
        <f t="shared" si="52"/>
        <v>0</v>
      </c>
      <c r="U253" s="82">
        <f t="shared" si="51"/>
        <v>1530000</v>
      </c>
    </row>
    <row r="254" spans="1:21" s="42" customFormat="1" ht="20.25" customHeight="1">
      <c r="A254" s="118">
        <v>108</v>
      </c>
      <c r="B254" s="80" t="s">
        <v>17</v>
      </c>
      <c r="C254" s="335" t="s">
        <v>568</v>
      </c>
      <c r="D254" s="261" t="s">
        <v>569</v>
      </c>
      <c r="E254" s="80" t="s">
        <v>402</v>
      </c>
      <c r="F254" s="80" t="s">
        <v>1138</v>
      </c>
      <c r="G254" s="66">
        <v>10</v>
      </c>
      <c r="H254" s="82">
        <v>400</v>
      </c>
      <c r="I254" s="83">
        <v>1</v>
      </c>
      <c r="J254" s="84" t="s">
        <v>62</v>
      </c>
      <c r="K254" s="86">
        <v>1</v>
      </c>
      <c r="L254" s="82">
        <v>0</v>
      </c>
      <c r="M254" s="82">
        <f>G254*H254/5</f>
        <v>800</v>
      </c>
      <c r="N254" s="82">
        <f t="shared" si="53"/>
        <v>660</v>
      </c>
      <c r="O254" s="82">
        <f t="shared" si="54"/>
        <v>30360</v>
      </c>
      <c r="P254" s="82">
        <v>1</v>
      </c>
      <c r="Q254" s="82">
        <v>1</v>
      </c>
      <c r="R254" s="82">
        <f t="shared" si="50"/>
        <v>1530000</v>
      </c>
      <c r="S254" s="82">
        <f t="shared" si="49"/>
        <v>1530000</v>
      </c>
      <c r="T254" s="82">
        <f t="shared" si="52"/>
        <v>0</v>
      </c>
      <c r="U254" s="82">
        <f t="shared" si="51"/>
        <v>1530000</v>
      </c>
    </row>
    <row r="255" spans="1:21" s="42" customFormat="1" ht="29.25" customHeight="1">
      <c r="A255" s="118">
        <v>109</v>
      </c>
      <c r="B255" s="81" t="s">
        <v>46</v>
      </c>
      <c r="C255" s="333" t="s">
        <v>1030</v>
      </c>
      <c r="D255" s="105" t="s">
        <v>1014</v>
      </c>
      <c r="E255" s="81" t="s">
        <v>374</v>
      </c>
      <c r="F255" s="81" t="s">
        <v>1112</v>
      </c>
      <c r="G255" s="66">
        <v>27</v>
      </c>
      <c r="H255" s="82">
        <v>1500</v>
      </c>
      <c r="I255" s="82">
        <v>4</v>
      </c>
      <c r="J255" s="88" t="s">
        <v>25</v>
      </c>
      <c r="K255" s="89">
        <v>1</v>
      </c>
      <c r="L255" s="82">
        <v>0</v>
      </c>
      <c r="M255" s="82">
        <f>(7*H255/5)+(15*H255*5/100)</f>
        <v>3225</v>
      </c>
      <c r="N255" s="82">
        <f>(7*H255/5*0.15*5.5)+(15*H255*5/100*0.15*7)</f>
        <v>2913.75</v>
      </c>
      <c r="O255" s="82">
        <f>((H255*7/5*6.6*5.5)+(H255*7/5*5.5*0.15*2))+((H255*15*5/100*6.6*7)+(H255*15*5/100*0.15*7*2))</f>
        <v>134032.5</v>
      </c>
      <c r="P255" s="82">
        <v>1</v>
      </c>
      <c r="Q255" s="82">
        <v>1</v>
      </c>
      <c r="R255" s="82">
        <f t="shared" si="50"/>
        <v>1530000</v>
      </c>
      <c r="S255" s="82">
        <f>R255*Q255*P255*K255</f>
        <v>1530000</v>
      </c>
      <c r="T255" s="82">
        <f>L255*P255*Q255*R255</f>
        <v>0</v>
      </c>
      <c r="U255" s="82">
        <f t="shared" si="51"/>
        <v>1530000</v>
      </c>
    </row>
    <row r="256" spans="1:21" s="42" customFormat="1" ht="28.5" customHeight="1">
      <c r="A256" s="118">
        <v>110</v>
      </c>
      <c r="B256" s="80" t="s">
        <v>46</v>
      </c>
      <c r="C256" s="333" t="s">
        <v>1031</v>
      </c>
      <c r="D256" s="105" t="s">
        <v>432</v>
      </c>
      <c r="E256" s="80" t="s">
        <v>374</v>
      </c>
      <c r="F256" s="81" t="s">
        <v>1112</v>
      </c>
      <c r="G256" s="66">
        <v>27</v>
      </c>
      <c r="H256" s="82">
        <v>1500</v>
      </c>
      <c r="I256" s="83">
        <v>4</v>
      </c>
      <c r="J256" s="84" t="s">
        <v>25</v>
      </c>
      <c r="K256" s="86">
        <v>1</v>
      </c>
      <c r="L256" s="86">
        <v>0</v>
      </c>
      <c r="M256" s="82">
        <f>G256*H256/5</f>
        <v>8100</v>
      </c>
      <c r="N256" s="82">
        <f t="shared" si="53"/>
        <v>6682.5</v>
      </c>
      <c r="O256" s="82">
        <f t="shared" si="54"/>
        <v>307395</v>
      </c>
      <c r="P256" s="82">
        <v>1</v>
      </c>
      <c r="Q256" s="82">
        <v>1</v>
      </c>
      <c r="R256" s="82">
        <f t="shared" si="50"/>
        <v>1530000</v>
      </c>
      <c r="S256" s="82">
        <f t="shared" si="49"/>
        <v>1530000</v>
      </c>
      <c r="T256" s="82">
        <f t="shared" si="52"/>
        <v>0</v>
      </c>
      <c r="U256" s="82">
        <f t="shared" si="51"/>
        <v>1530000</v>
      </c>
    </row>
    <row r="257" spans="1:21" s="42" customFormat="1" ht="20.25" customHeight="1">
      <c r="A257" s="118">
        <v>111</v>
      </c>
      <c r="B257" s="80" t="s">
        <v>17</v>
      </c>
      <c r="C257" s="335" t="s">
        <v>886</v>
      </c>
      <c r="D257" s="261" t="s">
        <v>887</v>
      </c>
      <c r="E257" s="80" t="s">
        <v>402</v>
      </c>
      <c r="F257" s="80" t="s">
        <v>1138</v>
      </c>
      <c r="G257" s="66">
        <v>8</v>
      </c>
      <c r="H257" s="82">
        <v>800</v>
      </c>
      <c r="I257" s="83">
        <v>2</v>
      </c>
      <c r="J257" s="84" t="s">
        <v>40</v>
      </c>
      <c r="K257" s="86">
        <v>1</v>
      </c>
      <c r="L257" s="82">
        <v>0</v>
      </c>
      <c r="M257" s="82">
        <f>G257*H257/5</f>
        <v>1280</v>
      </c>
      <c r="N257" s="82">
        <f t="shared" si="53"/>
        <v>1056</v>
      </c>
      <c r="O257" s="82">
        <f t="shared" si="54"/>
        <v>48576</v>
      </c>
      <c r="P257" s="82">
        <v>1</v>
      </c>
      <c r="Q257" s="82">
        <v>1</v>
      </c>
      <c r="R257" s="82">
        <f t="shared" si="50"/>
        <v>1530000</v>
      </c>
      <c r="S257" s="82">
        <f t="shared" si="49"/>
        <v>1530000</v>
      </c>
      <c r="T257" s="82">
        <f t="shared" si="52"/>
        <v>0</v>
      </c>
      <c r="U257" s="82">
        <f t="shared" si="51"/>
        <v>1530000</v>
      </c>
    </row>
    <row r="258" spans="1:21" s="42" customFormat="1" ht="20.25" customHeight="1">
      <c r="A258" s="118">
        <v>112</v>
      </c>
      <c r="B258" s="80" t="s">
        <v>46</v>
      </c>
      <c r="C258" s="335" t="s">
        <v>894</v>
      </c>
      <c r="D258" s="261" t="s">
        <v>895</v>
      </c>
      <c r="E258" s="80" t="s">
        <v>384</v>
      </c>
      <c r="F258" s="80" t="s">
        <v>1138</v>
      </c>
      <c r="G258" s="66">
        <v>8</v>
      </c>
      <c r="H258" s="82">
        <v>300</v>
      </c>
      <c r="I258" s="83">
        <v>2</v>
      </c>
      <c r="J258" s="84" t="s">
        <v>62</v>
      </c>
      <c r="K258" s="86">
        <v>1</v>
      </c>
      <c r="L258" s="82">
        <v>0</v>
      </c>
      <c r="M258" s="82">
        <f>G258*H258*5/100</f>
        <v>120</v>
      </c>
      <c r="N258" s="82">
        <f>M258*0.15*7</f>
        <v>126</v>
      </c>
      <c r="O258" s="82">
        <f>M258*6.6*7+N258*2</f>
        <v>5796</v>
      </c>
      <c r="P258" s="82">
        <v>1</v>
      </c>
      <c r="Q258" s="82">
        <v>1</v>
      </c>
      <c r="R258" s="82">
        <f t="shared" si="50"/>
        <v>1530000</v>
      </c>
      <c r="S258" s="82">
        <f t="shared" si="49"/>
        <v>1530000</v>
      </c>
      <c r="T258" s="82">
        <f t="shared" si="52"/>
        <v>0</v>
      </c>
      <c r="U258" s="82">
        <f t="shared" si="51"/>
        <v>1530000</v>
      </c>
    </row>
    <row r="259" spans="1:21" s="42" customFormat="1" ht="20.25" customHeight="1">
      <c r="A259" s="118">
        <v>113</v>
      </c>
      <c r="B259" s="80" t="s">
        <v>46</v>
      </c>
      <c r="C259" s="335" t="s">
        <v>896</v>
      </c>
      <c r="D259" s="261" t="s">
        <v>897</v>
      </c>
      <c r="E259" s="80" t="s">
        <v>402</v>
      </c>
      <c r="F259" s="80" t="s">
        <v>1138</v>
      </c>
      <c r="G259" s="66">
        <v>9</v>
      </c>
      <c r="H259" s="82">
        <v>300</v>
      </c>
      <c r="I259" s="83">
        <v>1</v>
      </c>
      <c r="J259" s="84" t="s">
        <v>62</v>
      </c>
      <c r="K259" s="86">
        <v>1</v>
      </c>
      <c r="L259" s="82">
        <v>0</v>
      </c>
      <c r="M259" s="82">
        <f>G259*H259*5/100</f>
        <v>135</v>
      </c>
      <c r="N259" s="82">
        <f>M259*0.15*7</f>
        <v>141.75</v>
      </c>
      <c r="O259" s="82">
        <f>M259*6.6*7+N259*2</f>
        <v>6520.5</v>
      </c>
      <c r="P259" s="82">
        <v>1</v>
      </c>
      <c r="Q259" s="82">
        <v>1</v>
      </c>
      <c r="R259" s="82">
        <f t="shared" si="50"/>
        <v>1530000</v>
      </c>
      <c r="S259" s="82">
        <f t="shared" si="49"/>
        <v>1530000</v>
      </c>
      <c r="T259" s="82">
        <f t="shared" si="52"/>
        <v>0</v>
      </c>
      <c r="U259" s="82">
        <f t="shared" si="51"/>
        <v>1530000</v>
      </c>
    </row>
    <row r="260" spans="1:21" s="42" customFormat="1" ht="20.25" customHeight="1">
      <c r="A260" s="118">
        <v>114</v>
      </c>
      <c r="B260" s="121" t="s">
        <v>46</v>
      </c>
      <c r="C260" s="338" t="s">
        <v>913</v>
      </c>
      <c r="D260" s="266" t="s">
        <v>914</v>
      </c>
      <c r="E260" s="121" t="s">
        <v>495</v>
      </c>
      <c r="F260" s="80" t="s">
        <v>1138</v>
      </c>
      <c r="G260" s="122">
        <v>17</v>
      </c>
      <c r="H260" s="111">
        <v>1500</v>
      </c>
      <c r="I260" s="123">
        <v>4</v>
      </c>
      <c r="J260" s="124" t="s">
        <v>40</v>
      </c>
      <c r="K260" s="125">
        <v>1</v>
      </c>
      <c r="L260" s="111">
        <v>0</v>
      </c>
      <c r="M260" s="82">
        <f aca="true" t="shared" si="55" ref="M260:M268">G260*H260*5/100</f>
        <v>1275</v>
      </c>
      <c r="N260" s="82">
        <f aca="true" t="shared" si="56" ref="N260:N268">M260*0.15*7</f>
        <v>1338.75</v>
      </c>
      <c r="O260" s="82">
        <f aca="true" t="shared" si="57" ref="O260:O268">M260*6.6*7+N260*2</f>
        <v>61582.5</v>
      </c>
      <c r="P260" s="111">
        <v>1</v>
      </c>
      <c r="Q260" s="111">
        <v>1</v>
      </c>
      <c r="R260" s="82">
        <f t="shared" si="50"/>
        <v>1530000</v>
      </c>
      <c r="S260" s="82">
        <f t="shared" si="49"/>
        <v>1530000</v>
      </c>
      <c r="T260" s="111">
        <f>L260*P260*Q260*R260</f>
        <v>0</v>
      </c>
      <c r="U260" s="82">
        <f t="shared" si="51"/>
        <v>1530000</v>
      </c>
    </row>
    <row r="261" spans="1:21" s="42" customFormat="1" ht="20.25" customHeight="1">
      <c r="A261" s="118">
        <v>115</v>
      </c>
      <c r="B261" s="121" t="s">
        <v>46</v>
      </c>
      <c r="C261" s="338" t="s">
        <v>1092</v>
      </c>
      <c r="D261" s="266" t="s">
        <v>1097</v>
      </c>
      <c r="E261" s="121" t="s">
        <v>396</v>
      </c>
      <c r="F261" s="80" t="s">
        <v>1138</v>
      </c>
      <c r="G261" s="122">
        <v>15</v>
      </c>
      <c r="H261" s="111">
        <v>800</v>
      </c>
      <c r="I261" s="123">
        <v>2</v>
      </c>
      <c r="J261" s="124" t="s">
        <v>40</v>
      </c>
      <c r="K261" s="125">
        <v>1</v>
      </c>
      <c r="L261" s="111">
        <v>0</v>
      </c>
      <c r="M261" s="82">
        <f t="shared" si="55"/>
        <v>600</v>
      </c>
      <c r="N261" s="82">
        <f t="shared" si="56"/>
        <v>630</v>
      </c>
      <c r="O261" s="82">
        <f t="shared" si="57"/>
        <v>28980</v>
      </c>
      <c r="P261" s="111">
        <v>1</v>
      </c>
      <c r="Q261" s="111">
        <v>1</v>
      </c>
      <c r="R261" s="82">
        <f t="shared" si="50"/>
        <v>1530000</v>
      </c>
      <c r="S261" s="82">
        <f t="shared" si="49"/>
        <v>1530000</v>
      </c>
      <c r="T261" s="111">
        <f aca="true" t="shared" si="58" ref="T261:T308">L261*P261*Q261*R261</f>
        <v>0</v>
      </c>
      <c r="U261" s="82">
        <f t="shared" si="51"/>
        <v>1530000</v>
      </c>
    </row>
    <row r="262" spans="1:21" s="42" customFormat="1" ht="20.25" customHeight="1">
      <c r="A262" s="118">
        <v>116</v>
      </c>
      <c r="B262" s="121" t="s">
        <v>46</v>
      </c>
      <c r="C262" s="338" t="s">
        <v>1091</v>
      </c>
      <c r="D262" s="266" t="s">
        <v>1097</v>
      </c>
      <c r="E262" s="121" t="s">
        <v>396</v>
      </c>
      <c r="F262" s="80" t="s">
        <v>1138</v>
      </c>
      <c r="G262" s="122">
        <v>20</v>
      </c>
      <c r="H262" s="111">
        <v>800</v>
      </c>
      <c r="I262" s="123">
        <v>2</v>
      </c>
      <c r="J262" s="124" t="s">
        <v>40</v>
      </c>
      <c r="K262" s="125">
        <v>1</v>
      </c>
      <c r="L262" s="111">
        <v>0</v>
      </c>
      <c r="M262" s="82">
        <f t="shared" si="55"/>
        <v>800</v>
      </c>
      <c r="N262" s="82">
        <f t="shared" si="56"/>
        <v>840</v>
      </c>
      <c r="O262" s="82">
        <f t="shared" si="57"/>
        <v>38640</v>
      </c>
      <c r="P262" s="111">
        <v>1</v>
      </c>
      <c r="Q262" s="111">
        <v>1</v>
      </c>
      <c r="R262" s="82">
        <f t="shared" si="50"/>
        <v>1530000</v>
      </c>
      <c r="S262" s="82">
        <f t="shared" si="49"/>
        <v>1530000</v>
      </c>
      <c r="T262" s="111">
        <f t="shared" si="58"/>
        <v>0</v>
      </c>
      <c r="U262" s="82">
        <f t="shared" si="51"/>
        <v>1530000</v>
      </c>
    </row>
    <row r="263" spans="1:21" s="42" customFormat="1" ht="20.25" customHeight="1">
      <c r="A263" s="118">
        <v>117</v>
      </c>
      <c r="B263" s="121" t="s">
        <v>46</v>
      </c>
      <c r="C263" s="338" t="s">
        <v>1093</v>
      </c>
      <c r="D263" s="266" t="s">
        <v>1097</v>
      </c>
      <c r="E263" s="121" t="s">
        <v>396</v>
      </c>
      <c r="F263" s="80" t="s">
        <v>1138</v>
      </c>
      <c r="G263" s="122">
        <v>20</v>
      </c>
      <c r="H263" s="111">
        <v>800</v>
      </c>
      <c r="I263" s="123">
        <v>2</v>
      </c>
      <c r="J263" s="124" t="s">
        <v>40</v>
      </c>
      <c r="K263" s="125">
        <v>1</v>
      </c>
      <c r="L263" s="111">
        <v>0</v>
      </c>
      <c r="M263" s="82">
        <f t="shared" si="55"/>
        <v>800</v>
      </c>
      <c r="N263" s="82">
        <f t="shared" si="56"/>
        <v>840</v>
      </c>
      <c r="O263" s="82">
        <f t="shared" si="57"/>
        <v>38640</v>
      </c>
      <c r="P263" s="111">
        <v>1</v>
      </c>
      <c r="Q263" s="111">
        <v>1</v>
      </c>
      <c r="R263" s="82">
        <f t="shared" si="50"/>
        <v>1530000</v>
      </c>
      <c r="S263" s="82">
        <f t="shared" si="49"/>
        <v>1530000</v>
      </c>
      <c r="T263" s="111">
        <f t="shared" si="58"/>
        <v>0</v>
      </c>
      <c r="U263" s="82">
        <f t="shared" si="51"/>
        <v>1530000</v>
      </c>
    </row>
    <row r="264" spans="1:21" s="42" customFormat="1" ht="20.25" customHeight="1">
      <c r="A264" s="118">
        <v>118</v>
      </c>
      <c r="B264" s="121" t="s">
        <v>46</v>
      </c>
      <c r="C264" s="338" t="s">
        <v>1094</v>
      </c>
      <c r="D264" s="266" t="s">
        <v>1097</v>
      </c>
      <c r="E264" s="121" t="s">
        <v>396</v>
      </c>
      <c r="F264" s="80" t="s">
        <v>1138</v>
      </c>
      <c r="G264" s="122">
        <v>20</v>
      </c>
      <c r="H264" s="111">
        <v>800</v>
      </c>
      <c r="I264" s="123">
        <v>2</v>
      </c>
      <c r="J264" s="124" t="s">
        <v>40</v>
      </c>
      <c r="K264" s="125">
        <v>1</v>
      </c>
      <c r="L264" s="111">
        <v>0</v>
      </c>
      <c r="M264" s="82">
        <f t="shared" si="55"/>
        <v>800</v>
      </c>
      <c r="N264" s="82">
        <f t="shared" si="56"/>
        <v>840</v>
      </c>
      <c r="O264" s="82">
        <f t="shared" si="57"/>
        <v>38640</v>
      </c>
      <c r="P264" s="111">
        <v>1</v>
      </c>
      <c r="Q264" s="111">
        <v>1</v>
      </c>
      <c r="R264" s="82">
        <f t="shared" si="50"/>
        <v>1530000</v>
      </c>
      <c r="S264" s="82">
        <f t="shared" si="49"/>
        <v>1530000</v>
      </c>
      <c r="T264" s="111">
        <f t="shared" si="58"/>
        <v>0</v>
      </c>
      <c r="U264" s="82">
        <f t="shared" si="51"/>
        <v>1530000</v>
      </c>
    </row>
    <row r="265" spans="1:104" s="45" customFormat="1" ht="20.25" customHeight="1">
      <c r="A265" s="118">
        <v>119</v>
      </c>
      <c r="B265" s="121" t="s">
        <v>46</v>
      </c>
      <c r="C265" s="338" t="s">
        <v>1095</v>
      </c>
      <c r="D265" s="266" t="s">
        <v>1097</v>
      </c>
      <c r="E265" s="121" t="s">
        <v>396</v>
      </c>
      <c r="F265" s="80" t="s">
        <v>1138</v>
      </c>
      <c r="G265" s="122">
        <v>20</v>
      </c>
      <c r="H265" s="111">
        <v>800</v>
      </c>
      <c r="I265" s="123">
        <v>2</v>
      </c>
      <c r="J265" s="124" t="s">
        <v>40</v>
      </c>
      <c r="K265" s="125">
        <v>1</v>
      </c>
      <c r="L265" s="111">
        <v>0</v>
      </c>
      <c r="M265" s="82">
        <f t="shared" si="55"/>
        <v>800</v>
      </c>
      <c r="N265" s="82">
        <f t="shared" si="56"/>
        <v>840</v>
      </c>
      <c r="O265" s="82">
        <f t="shared" si="57"/>
        <v>38640</v>
      </c>
      <c r="P265" s="111">
        <v>1</v>
      </c>
      <c r="Q265" s="111">
        <v>1</v>
      </c>
      <c r="R265" s="82">
        <f t="shared" si="50"/>
        <v>1530000</v>
      </c>
      <c r="S265" s="82">
        <f t="shared" si="49"/>
        <v>1530000</v>
      </c>
      <c r="T265" s="111">
        <f t="shared" si="58"/>
        <v>0</v>
      </c>
      <c r="U265" s="82">
        <f t="shared" si="51"/>
        <v>1530000</v>
      </c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</row>
    <row r="266" spans="1:104" s="48" customFormat="1" ht="20.25" customHeight="1">
      <c r="A266" s="118">
        <v>120</v>
      </c>
      <c r="B266" s="80" t="s">
        <v>46</v>
      </c>
      <c r="C266" s="339" t="s">
        <v>1096</v>
      </c>
      <c r="D266" s="266" t="s">
        <v>1097</v>
      </c>
      <c r="E266" s="80" t="s">
        <v>396</v>
      </c>
      <c r="F266" s="80" t="s">
        <v>1138</v>
      </c>
      <c r="G266" s="66">
        <v>20</v>
      </c>
      <c r="H266" s="82">
        <v>800</v>
      </c>
      <c r="I266" s="83">
        <v>2</v>
      </c>
      <c r="J266" s="124" t="s">
        <v>40</v>
      </c>
      <c r="K266" s="86">
        <v>1</v>
      </c>
      <c r="L266" s="82">
        <v>0</v>
      </c>
      <c r="M266" s="82">
        <f t="shared" si="55"/>
        <v>800</v>
      </c>
      <c r="N266" s="82">
        <f t="shared" si="56"/>
        <v>840</v>
      </c>
      <c r="O266" s="82">
        <f t="shared" si="57"/>
        <v>38640</v>
      </c>
      <c r="P266" s="82">
        <v>1</v>
      </c>
      <c r="Q266" s="82">
        <v>1</v>
      </c>
      <c r="R266" s="82">
        <f t="shared" si="50"/>
        <v>1530000</v>
      </c>
      <c r="S266" s="82">
        <f t="shared" si="49"/>
        <v>1530000</v>
      </c>
      <c r="T266" s="82">
        <f t="shared" si="58"/>
        <v>0</v>
      </c>
      <c r="U266" s="82">
        <f t="shared" si="51"/>
        <v>1530000</v>
      </c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</row>
    <row r="267" spans="1:104" s="48" customFormat="1" ht="20.25" customHeight="1">
      <c r="A267" s="118">
        <v>121</v>
      </c>
      <c r="B267" s="80" t="s">
        <v>46</v>
      </c>
      <c r="C267" s="335" t="s">
        <v>961</v>
      </c>
      <c r="D267" s="261" t="s">
        <v>960</v>
      </c>
      <c r="E267" s="80" t="s">
        <v>374</v>
      </c>
      <c r="F267" s="81" t="s">
        <v>1112</v>
      </c>
      <c r="G267" s="66">
        <v>15</v>
      </c>
      <c r="H267" s="82">
        <v>700</v>
      </c>
      <c r="I267" s="83">
        <v>2</v>
      </c>
      <c r="J267" s="84" t="s">
        <v>62</v>
      </c>
      <c r="K267" s="86">
        <v>1</v>
      </c>
      <c r="L267" s="82">
        <v>0</v>
      </c>
      <c r="M267" s="82">
        <f t="shared" si="55"/>
        <v>525</v>
      </c>
      <c r="N267" s="82">
        <f t="shared" si="56"/>
        <v>551.25</v>
      </c>
      <c r="O267" s="82">
        <f t="shared" si="57"/>
        <v>25357.5</v>
      </c>
      <c r="P267" s="82">
        <v>1</v>
      </c>
      <c r="Q267" s="82">
        <v>1</v>
      </c>
      <c r="R267" s="82">
        <f t="shared" si="50"/>
        <v>1530000</v>
      </c>
      <c r="S267" s="82">
        <f t="shared" si="49"/>
        <v>1530000</v>
      </c>
      <c r="T267" s="82">
        <f t="shared" si="58"/>
        <v>0</v>
      </c>
      <c r="U267" s="82">
        <f t="shared" si="51"/>
        <v>1530000</v>
      </c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</row>
    <row r="268" spans="1:104" s="48" customFormat="1" ht="24.75" customHeight="1">
      <c r="A268" s="118">
        <v>122</v>
      </c>
      <c r="B268" s="80" t="s">
        <v>46</v>
      </c>
      <c r="C268" s="335" t="s">
        <v>1001</v>
      </c>
      <c r="D268" s="261" t="s">
        <v>1002</v>
      </c>
      <c r="E268" s="80" t="s">
        <v>439</v>
      </c>
      <c r="F268" s="80" t="s">
        <v>1138</v>
      </c>
      <c r="G268" s="66">
        <v>23</v>
      </c>
      <c r="H268" s="82">
        <v>3800</v>
      </c>
      <c r="I268" s="83">
        <v>5</v>
      </c>
      <c r="J268" s="84" t="s">
        <v>40</v>
      </c>
      <c r="K268" s="86">
        <v>1</v>
      </c>
      <c r="L268" s="82">
        <v>0</v>
      </c>
      <c r="M268" s="82">
        <f t="shared" si="55"/>
        <v>4370</v>
      </c>
      <c r="N268" s="82">
        <f t="shared" si="56"/>
        <v>4588.5</v>
      </c>
      <c r="O268" s="82">
        <f t="shared" si="57"/>
        <v>211071</v>
      </c>
      <c r="P268" s="82">
        <v>1</v>
      </c>
      <c r="Q268" s="82">
        <v>1</v>
      </c>
      <c r="R268" s="82">
        <f t="shared" si="50"/>
        <v>1530000</v>
      </c>
      <c r="S268" s="82">
        <f t="shared" si="49"/>
        <v>1530000</v>
      </c>
      <c r="T268" s="82">
        <f t="shared" si="58"/>
        <v>0</v>
      </c>
      <c r="U268" s="82">
        <f t="shared" si="51"/>
        <v>1530000</v>
      </c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</row>
    <row r="269" spans="1:104" s="48" customFormat="1" ht="20.25" customHeight="1">
      <c r="A269" s="118">
        <v>123</v>
      </c>
      <c r="B269" s="80" t="s">
        <v>17</v>
      </c>
      <c r="C269" s="335" t="s">
        <v>1021</v>
      </c>
      <c r="D269" s="261" t="s">
        <v>1022</v>
      </c>
      <c r="E269" s="80" t="s">
        <v>402</v>
      </c>
      <c r="F269" s="80" t="s">
        <v>1138</v>
      </c>
      <c r="G269" s="66">
        <v>10</v>
      </c>
      <c r="H269" s="82">
        <v>450</v>
      </c>
      <c r="I269" s="83">
        <v>2</v>
      </c>
      <c r="J269" s="84" t="s">
        <v>40</v>
      </c>
      <c r="K269" s="86">
        <v>1</v>
      </c>
      <c r="L269" s="82">
        <v>0</v>
      </c>
      <c r="M269" s="82">
        <f>G269*H269*5/100</f>
        <v>225</v>
      </c>
      <c r="N269" s="82">
        <f>M269*0.15*7</f>
        <v>236.25</v>
      </c>
      <c r="O269" s="82">
        <f>M269*6.6*7+N269*2</f>
        <v>10867.5</v>
      </c>
      <c r="P269" s="82">
        <v>1</v>
      </c>
      <c r="Q269" s="82">
        <v>1</v>
      </c>
      <c r="R269" s="82">
        <f t="shared" si="50"/>
        <v>1530000</v>
      </c>
      <c r="S269" s="82">
        <f t="shared" si="49"/>
        <v>1530000</v>
      </c>
      <c r="T269" s="82">
        <f t="shared" si="58"/>
        <v>0</v>
      </c>
      <c r="U269" s="82">
        <f t="shared" si="51"/>
        <v>1530000</v>
      </c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</row>
    <row r="270" spans="1:104" s="48" customFormat="1" ht="20.25" customHeight="1">
      <c r="A270" s="118">
        <v>124</v>
      </c>
      <c r="B270" s="80" t="s">
        <v>46</v>
      </c>
      <c r="C270" s="335" t="s">
        <v>1023</v>
      </c>
      <c r="D270" s="261" t="s">
        <v>1026</v>
      </c>
      <c r="E270" s="80" t="s">
        <v>1024</v>
      </c>
      <c r="F270" s="80" t="s">
        <v>1138</v>
      </c>
      <c r="G270" s="66">
        <v>18</v>
      </c>
      <c r="H270" s="82">
        <v>1000</v>
      </c>
      <c r="I270" s="83">
        <v>4</v>
      </c>
      <c r="J270" s="84" t="s">
        <v>25</v>
      </c>
      <c r="K270" s="86">
        <v>1</v>
      </c>
      <c r="L270" s="82">
        <v>0</v>
      </c>
      <c r="M270" s="82">
        <f>G270*H270*5/100</f>
        <v>900</v>
      </c>
      <c r="N270" s="82">
        <f>M270*0.15*7</f>
        <v>945</v>
      </c>
      <c r="O270" s="82">
        <f>M270*6.6*7+N270*2</f>
        <v>43470</v>
      </c>
      <c r="P270" s="82">
        <v>1</v>
      </c>
      <c r="Q270" s="82">
        <v>1</v>
      </c>
      <c r="R270" s="82">
        <f t="shared" si="50"/>
        <v>1530000</v>
      </c>
      <c r="S270" s="82">
        <f t="shared" si="49"/>
        <v>1530000</v>
      </c>
      <c r="T270" s="82">
        <f t="shared" si="58"/>
        <v>0</v>
      </c>
      <c r="U270" s="82">
        <f t="shared" si="51"/>
        <v>1530000</v>
      </c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</row>
    <row r="271" spans="1:104" s="48" customFormat="1" ht="20.25" customHeight="1">
      <c r="A271" s="118">
        <v>125</v>
      </c>
      <c r="B271" s="80" t="s">
        <v>46</v>
      </c>
      <c r="C271" s="335" t="s">
        <v>1025</v>
      </c>
      <c r="D271" s="261" t="s">
        <v>1026</v>
      </c>
      <c r="E271" s="80" t="s">
        <v>1024</v>
      </c>
      <c r="F271" s="80" t="s">
        <v>1138</v>
      </c>
      <c r="G271" s="66">
        <v>18</v>
      </c>
      <c r="H271" s="82">
        <v>1000</v>
      </c>
      <c r="I271" s="83">
        <v>4</v>
      </c>
      <c r="J271" s="84" t="s">
        <v>25</v>
      </c>
      <c r="K271" s="86">
        <v>1</v>
      </c>
      <c r="L271" s="82">
        <v>0</v>
      </c>
      <c r="M271" s="82">
        <f>G271*H271*5/100</f>
        <v>900</v>
      </c>
      <c r="N271" s="82">
        <f>M271*0.15*7</f>
        <v>945</v>
      </c>
      <c r="O271" s="82">
        <f>M271*6.6*7+N271*2</f>
        <v>43470</v>
      </c>
      <c r="P271" s="82">
        <v>1</v>
      </c>
      <c r="Q271" s="82">
        <v>1</v>
      </c>
      <c r="R271" s="82">
        <f t="shared" si="50"/>
        <v>1530000</v>
      </c>
      <c r="S271" s="82">
        <f t="shared" si="49"/>
        <v>1530000</v>
      </c>
      <c r="T271" s="82">
        <f t="shared" si="58"/>
        <v>0</v>
      </c>
      <c r="U271" s="82">
        <f t="shared" si="51"/>
        <v>1530000</v>
      </c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</row>
    <row r="272" spans="1:104" s="48" customFormat="1" ht="20.25" customHeight="1">
      <c r="A272" s="118">
        <v>126</v>
      </c>
      <c r="B272" s="80" t="s">
        <v>46</v>
      </c>
      <c r="C272" s="335" t="s">
        <v>1042</v>
      </c>
      <c r="D272" s="261" t="s">
        <v>1041</v>
      </c>
      <c r="E272" s="80" t="s">
        <v>389</v>
      </c>
      <c r="F272" s="80" t="s">
        <v>1136</v>
      </c>
      <c r="G272" s="66">
        <v>9</v>
      </c>
      <c r="H272" s="82">
        <v>500</v>
      </c>
      <c r="I272" s="83">
        <v>2</v>
      </c>
      <c r="J272" s="84" t="s">
        <v>62</v>
      </c>
      <c r="K272" s="86">
        <v>1</v>
      </c>
      <c r="L272" s="82">
        <v>0</v>
      </c>
      <c r="M272" s="82">
        <f>G272*H272/5</f>
        <v>900</v>
      </c>
      <c r="N272" s="82">
        <f>M272*0.15*5.5</f>
        <v>742.5</v>
      </c>
      <c r="O272" s="82">
        <f aca="true" t="shared" si="59" ref="O272:O277">M272*6.6*5.5+N272*2</f>
        <v>34155</v>
      </c>
      <c r="P272" s="82">
        <v>1</v>
      </c>
      <c r="Q272" s="82">
        <v>1</v>
      </c>
      <c r="R272" s="82">
        <f t="shared" si="50"/>
        <v>1530000</v>
      </c>
      <c r="S272" s="82">
        <f t="shared" si="49"/>
        <v>1530000</v>
      </c>
      <c r="T272" s="82">
        <f t="shared" si="58"/>
        <v>0</v>
      </c>
      <c r="U272" s="82">
        <f t="shared" si="51"/>
        <v>1530000</v>
      </c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</row>
    <row r="273" spans="1:104" s="48" customFormat="1" ht="20.25" customHeight="1">
      <c r="A273" s="118">
        <v>127</v>
      </c>
      <c r="B273" s="80" t="s">
        <v>46</v>
      </c>
      <c r="C273" s="335" t="s">
        <v>1043</v>
      </c>
      <c r="D273" s="261" t="s">
        <v>1041</v>
      </c>
      <c r="E273" s="80" t="s">
        <v>389</v>
      </c>
      <c r="F273" s="80" t="s">
        <v>1136</v>
      </c>
      <c r="G273" s="66">
        <v>9</v>
      </c>
      <c r="H273" s="82">
        <v>500</v>
      </c>
      <c r="I273" s="83">
        <v>2</v>
      </c>
      <c r="J273" s="84" t="s">
        <v>62</v>
      </c>
      <c r="K273" s="86">
        <v>1</v>
      </c>
      <c r="L273" s="82">
        <v>0</v>
      </c>
      <c r="M273" s="82">
        <f>G273*H273*5/100</f>
        <v>225</v>
      </c>
      <c r="N273" s="82">
        <f>M273*0.15*7</f>
        <v>236.25</v>
      </c>
      <c r="O273" s="82">
        <f t="shared" si="59"/>
        <v>8640</v>
      </c>
      <c r="P273" s="82">
        <v>1</v>
      </c>
      <c r="Q273" s="82">
        <v>1</v>
      </c>
      <c r="R273" s="82">
        <f t="shared" si="50"/>
        <v>1530000</v>
      </c>
      <c r="S273" s="82">
        <f t="shared" si="49"/>
        <v>1530000</v>
      </c>
      <c r="T273" s="82">
        <f t="shared" si="58"/>
        <v>0</v>
      </c>
      <c r="U273" s="82">
        <f t="shared" si="51"/>
        <v>1530000</v>
      </c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</row>
    <row r="274" spans="1:104" s="48" customFormat="1" ht="20.25" customHeight="1">
      <c r="A274" s="118">
        <v>128</v>
      </c>
      <c r="B274" s="80" t="s">
        <v>46</v>
      </c>
      <c r="C274" s="335" t="s">
        <v>1044</v>
      </c>
      <c r="D274" s="261" t="s">
        <v>1045</v>
      </c>
      <c r="E274" s="80" t="s">
        <v>389</v>
      </c>
      <c r="F274" s="80" t="s">
        <v>1138</v>
      </c>
      <c r="G274" s="66">
        <v>11</v>
      </c>
      <c r="H274" s="82">
        <v>300</v>
      </c>
      <c r="I274" s="83">
        <v>1</v>
      </c>
      <c r="J274" s="84" t="s">
        <v>62</v>
      </c>
      <c r="K274" s="86">
        <v>1</v>
      </c>
      <c r="L274" s="82">
        <v>0</v>
      </c>
      <c r="M274" s="82">
        <f>G274*H274*5/100</f>
        <v>165</v>
      </c>
      <c r="N274" s="82">
        <f>M274*0.15*7</f>
        <v>173.25</v>
      </c>
      <c r="O274" s="82">
        <f t="shared" si="59"/>
        <v>6336</v>
      </c>
      <c r="P274" s="82">
        <v>1</v>
      </c>
      <c r="Q274" s="82">
        <v>1</v>
      </c>
      <c r="R274" s="82">
        <f t="shared" si="50"/>
        <v>1530000</v>
      </c>
      <c r="S274" s="82">
        <f t="shared" si="49"/>
        <v>1530000</v>
      </c>
      <c r="T274" s="82">
        <f t="shared" si="58"/>
        <v>0</v>
      </c>
      <c r="U274" s="82">
        <f t="shared" si="51"/>
        <v>1530000</v>
      </c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</row>
    <row r="275" spans="1:104" s="48" customFormat="1" ht="20.25" customHeight="1">
      <c r="A275" s="118">
        <v>129</v>
      </c>
      <c r="B275" s="126" t="s">
        <v>17</v>
      </c>
      <c r="C275" s="340" t="s">
        <v>1054</v>
      </c>
      <c r="D275" s="267" t="s">
        <v>1055</v>
      </c>
      <c r="E275" s="126" t="s">
        <v>439</v>
      </c>
      <c r="F275" s="80" t="s">
        <v>1138</v>
      </c>
      <c r="G275" s="103">
        <v>11</v>
      </c>
      <c r="H275" s="126">
        <v>700</v>
      </c>
      <c r="I275" s="126">
        <v>2</v>
      </c>
      <c r="J275" s="127" t="s">
        <v>62</v>
      </c>
      <c r="K275" s="128">
        <v>1</v>
      </c>
      <c r="L275" s="126"/>
      <c r="M275" s="82">
        <f>G275*H275*5/100</f>
        <v>385</v>
      </c>
      <c r="N275" s="82">
        <f>M275*0.15*7</f>
        <v>404.25</v>
      </c>
      <c r="O275" s="82">
        <f t="shared" si="59"/>
        <v>14784</v>
      </c>
      <c r="P275" s="126">
        <v>1</v>
      </c>
      <c r="Q275" s="126">
        <v>1</v>
      </c>
      <c r="R275" s="82">
        <f t="shared" si="50"/>
        <v>1530000</v>
      </c>
      <c r="S275" s="82">
        <f aca="true" t="shared" si="60" ref="S275:S294">R275*Q275*P275*K275</f>
        <v>1530000</v>
      </c>
      <c r="T275" s="82">
        <f t="shared" si="58"/>
        <v>0</v>
      </c>
      <c r="U275" s="82">
        <f t="shared" si="51"/>
        <v>1530000</v>
      </c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</row>
    <row r="276" spans="1:104" s="48" customFormat="1" ht="20.25" customHeight="1">
      <c r="A276" s="118">
        <v>130</v>
      </c>
      <c r="B276" s="126" t="s">
        <v>17</v>
      </c>
      <c r="C276" s="341" t="s">
        <v>1056</v>
      </c>
      <c r="D276" s="267" t="s">
        <v>572</v>
      </c>
      <c r="E276" s="126" t="s">
        <v>374</v>
      </c>
      <c r="F276" s="80" t="s">
        <v>1138</v>
      </c>
      <c r="G276" s="103">
        <v>9</v>
      </c>
      <c r="H276" s="126">
        <v>600</v>
      </c>
      <c r="I276" s="126">
        <v>1</v>
      </c>
      <c r="J276" s="127" t="s">
        <v>62</v>
      </c>
      <c r="K276" s="128">
        <v>1</v>
      </c>
      <c r="L276" s="126"/>
      <c r="M276" s="82">
        <f>G276*H276*5/100</f>
        <v>270</v>
      </c>
      <c r="N276" s="82">
        <f>M276*0.15*7</f>
        <v>283.5</v>
      </c>
      <c r="O276" s="82">
        <f t="shared" si="59"/>
        <v>10368</v>
      </c>
      <c r="P276" s="126">
        <v>1</v>
      </c>
      <c r="Q276" s="126">
        <v>1</v>
      </c>
      <c r="R276" s="82">
        <f aca="true" t="shared" si="61" ref="R276:R310">68*$R$2</f>
        <v>1530000</v>
      </c>
      <c r="S276" s="82">
        <f t="shared" si="60"/>
        <v>1530000</v>
      </c>
      <c r="T276" s="82">
        <f t="shared" si="58"/>
        <v>0</v>
      </c>
      <c r="U276" s="82">
        <f t="shared" si="51"/>
        <v>1530000</v>
      </c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</row>
    <row r="277" spans="1:104" s="48" customFormat="1" ht="20.25" customHeight="1">
      <c r="A277" s="118">
        <v>131</v>
      </c>
      <c r="B277" s="126" t="s">
        <v>17</v>
      </c>
      <c r="C277" s="341" t="s">
        <v>1057</v>
      </c>
      <c r="D277" s="267" t="s">
        <v>572</v>
      </c>
      <c r="E277" s="126" t="s">
        <v>374</v>
      </c>
      <c r="F277" s="80" t="s">
        <v>1138</v>
      </c>
      <c r="G277" s="103">
        <v>9</v>
      </c>
      <c r="H277" s="126">
        <v>600</v>
      </c>
      <c r="I277" s="126">
        <v>1</v>
      </c>
      <c r="J277" s="127" t="s">
        <v>62</v>
      </c>
      <c r="K277" s="128">
        <v>1</v>
      </c>
      <c r="L277" s="126"/>
      <c r="M277" s="82">
        <f>G277*H277*5/100</f>
        <v>270</v>
      </c>
      <c r="N277" s="82">
        <f>M277*0.15*7</f>
        <v>283.5</v>
      </c>
      <c r="O277" s="82">
        <f t="shared" si="59"/>
        <v>10368</v>
      </c>
      <c r="P277" s="126">
        <v>1</v>
      </c>
      <c r="Q277" s="126">
        <v>1</v>
      </c>
      <c r="R277" s="82">
        <f t="shared" si="61"/>
        <v>1530000</v>
      </c>
      <c r="S277" s="82">
        <f t="shared" si="60"/>
        <v>1530000</v>
      </c>
      <c r="T277" s="82">
        <f t="shared" si="58"/>
        <v>0</v>
      </c>
      <c r="U277" s="82">
        <f t="shared" si="51"/>
        <v>1530000</v>
      </c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</row>
    <row r="278" spans="1:104" s="48" customFormat="1" ht="20.25" customHeight="1">
      <c r="A278" s="118">
        <v>132</v>
      </c>
      <c r="B278" s="126" t="s">
        <v>17</v>
      </c>
      <c r="C278" s="341" t="s">
        <v>1058</v>
      </c>
      <c r="D278" s="267" t="s">
        <v>572</v>
      </c>
      <c r="E278" s="126" t="s">
        <v>374</v>
      </c>
      <c r="F278" s="80" t="s">
        <v>1138</v>
      </c>
      <c r="G278" s="103">
        <v>8</v>
      </c>
      <c r="H278" s="126">
        <v>900</v>
      </c>
      <c r="I278" s="126">
        <v>1</v>
      </c>
      <c r="J278" s="127" t="s">
        <v>62</v>
      </c>
      <c r="K278" s="128">
        <v>1</v>
      </c>
      <c r="L278" s="126"/>
      <c r="M278" s="424">
        <f>G278*H278/5</f>
        <v>1440</v>
      </c>
      <c r="N278" s="424">
        <f>M278*0.15*5.5</f>
        <v>1188</v>
      </c>
      <c r="O278" s="424">
        <f>M278*6.6*5.5+N278*2</f>
        <v>54648</v>
      </c>
      <c r="P278" s="126">
        <v>1</v>
      </c>
      <c r="Q278" s="126">
        <v>1</v>
      </c>
      <c r="R278" s="82">
        <f t="shared" si="61"/>
        <v>1530000</v>
      </c>
      <c r="S278" s="82">
        <f t="shared" si="60"/>
        <v>1530000</v>
      </c>
      <c r="T278" s="82">
        <f t="shared" si="58"/>
        <v>0</v>
      </c>
      <c r="U278" s="82">
        <f aca="true" t="shared" si="62" ref="U278:U362">S278+T278</f>
        <v>1530000</v>
      </c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</row>
    <row r="279" spans="1:104" s="48" customFormat="1" ht="20.25" customHeight="1">
      <c r="A279" s="118">
        <v>133</v>
      </c>
      <c r="B279" s="126" t="s">
        <v>17</v>
      </c>
      <c r="C279" s="341" t="s">
        <v>1059</v>
      </c>
      <c r="D279" s="267" t="s">
        <v>572</v>
      </c>
      <c r="E279" s="126" t="s">
        <v>374</v>
      </c>
      <c r="F279" s="80" t="s">
        <v>1138</v>
      </c>
      <c r="G279" s="103">
        <v>8</v>
      </c>
      <c r="H279" s="126">
        <v>900</v>
      </c>
      <c r="I279" s="126">
        <v>2</v>
      </c>
      <c r="J279" s="127" t="s">
        <v>40</v>
      </c>
      <c r="K279" s="128">
        <v>1</v>
      </c>
      <c r="L279" s="126"/>
      <c r="M279" s="424">
        <f>G279*H279/5</f>
        <v>1440</v>
      </c>
      <c r="N279" s="424">
        <f>M279*0.15*5.5</f>
        <v>1188</v>
      </c>
      <c r="O279" s="424">
        <f>M279*6.6*5.5+N279*2</f>
        <v>54648</v>
      </c>
      <c r="P279" s="126">
        <v>1</v>
      </c>
      <c r="Q279" s="126">
        <v>1</v>
      </c>
      <c r="R279" s="82">
        <f t="shared" si="61"/>
        <v>1530000</v>
      </c>
      <c r="S279" s="82">
        <f t="shared" si="60"/>
        <v>1530000</v>
      </c>
      <c r="T279" s="82">
        <f t="shared" si="58"/>
        <v>0</v>
      </c>
      <c r="U279" s="82">
        <f t="shared" si="62"/>
        <v>1530000</v>
      </c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</row>
    <row r="280" spans="1:104" s="48" customFormat="1" ht="28.5" customHeight="1">
      <c r="A280" s="118">
        <v>134</v>
      </c>
      <c r="B280" s="126" t="s">
        <v>46</v>
      </c>
      <c r="C280" s="339" t="s">
        <v>1067</v>
      </c>
      <c r="D280" s="156" t="s">
        <v>1068</v>
      </c>
      <c r="E280" s="126" t="s">
        <v>1069</v>
      </c>
      <c r="F280" s="80" t="s">
        <v>1138</v>
      </c>
      <c r="G280" s="103">
        <v>26</v>
      </c>
      <c r="H280" s="126">
        <v>1000</v>
      </c>
      <c r="I280" s="126">
        <v>4</v>
      </c>
      <c r="J280" s="127" t="s">
        <v>25</v>
      </c>
      <c r="K280" s="128">
        <v>1</v>
      </c>
      <c r="L280" s="126"/>
      <c r="M280" s="424">
        <f>G280*H280*5/100</f>
        <v>1300</v>
      </c>
      <c r="N280" s="424">
        <f>M280*0.15*7</f>
        <v>1365</v>
      </c>
      <c r="O280" s="424">
        <f>M280*6.6*7+N280*2</f>
        <v>62790</v>
      </c>
      <c r="P280" s="126">
        <v>1</v>
      </c>
      <c r="Q280" s="126">
        <v>1</v>
      </c>
      <c r="R280" s="82">
        <f t="shared" si="61"/>
        <v>1530000</v>
      </c>
      <c r="S280" s="82">
        <f t="shared" si="60"/>
        <v>1530000</v>
      </c>
      <c r="T280" s="82">
        <f t="shared" si="58"/>
        <v>0</v>
      </c>
      <c r="U280" s="82">
        <f t="shared" si="62"/>
        <v>1530000</v>
      </c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</row>
    <row r="281" spans="1:104" s="48" customFormat="1" ht="20.25" customHeight="1">
      <c r="A281" s="118">
        <v>135</v>
      </c>
      <c r="B281" s="126" t="s">
        <v>17</v>
      </c>
      <c r="C281" s="342" t="s">
        <v>1087</v>
      </c>
      <c r="D281" s="102" t="s">
        <v>1088</v>
      </c>
      <c r="E281" s="102" t="s">
        <v>374</v>
      </c>
      <c r="F281" s="80" t="s">
        <v>1138</v>
      </c>
      <c r="G281" s="103">
        <v>9</v>
      </c>
      <c r="H281" s="126">
        <v>1500</v>
      </c>
      <c r="I281" s="126">
        <v>2</v>
      </c>
      <c r="J281" s="127" t="s">
        <v>62</v>
      </c>
      <c r="K281" s="128">
        <v>1</v>
      </c>
      <c r="L281" s="126"/>
      <c r="M281" s="424">
        <f>G281*H281/5</f>
        <v>2700</v>
      </c>
      <c r="N281" s="424">
        <f>M281*0.15*5.5</f>
        <v>2227.5</v>
      </c>
      <c r="O281" s="424">
        <f>M281*6.6*5.5+N281*2</f>
        <v>102465</v>
      </c>
      <c r="P281" s="126">
        <v>1</v>
      </c>
      <c r="Q281" s="126">
        <v>1</v>
      </c>
      <c r="R281" s="82">
        <f t="shared" si="61"/>
        <v>1530000</v>
      </c>
      <c r="S281" s="82">
        <f t="shared" si="60"/>
        <v>1530000</v>
      </c>
      <c r="T281" s="82">
        <f t="shared" si="58"/>
        <v>0</v>
      </c>
      <c r="U281" s="82">
        <f t="shared" si="62"/>
        <v>1530000</v>
      </c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</row>
    <row r="282" spans="1:104" s="48" customFormat="1" ht="20.25" customHeight="1">
      <c r="A282" s="118">
        <v>136</v>
      </c>
      <c r="B282" s="126" t="s">
        <v>17</v>
      </c>
      <c r="C282" s="342" t="s">
        <v>1089</v>
      </c>
      <c r="D282" s="156" t="s">
        <v>1090</v>
      </c>
      <c r="E282" s="102" t="s">
        <v>374</v>
      </c>
      <c r="F282" s="80" t="s">
        <v>1138</v>
      </c>
      <c r="G282" s="103">
        <v>9</v>
      </c>
      <c r="H282" s="126">
        <v>850</v>
      </c>
      <c r="I282" s="126">
        <v>2</v>
      </c>
      <c r="J282" s="127" t="s">
        <v>40</v>
      </c>
      <c r="K282" s="128">
        <v>1</v>
      </c>
      <c r="L282" s="126"/>
      <c r="M282" s="424">
        <f>G282*H282/5</f>
        <v>1530</v>
      </c>
      <c r="N282" s="424">
        <f>M282*0.15*5.5</f>
        <v>1262.25</v>
      </c>
      <c r="O282" s="424">
        <f>M282*6.6*5.5+N282*2</f>
        <v>58063.5</v>
      </c>
      <c r="P282" s="126">
        <v>1</v>
      </c>
      <c r="Q282" s="126">
        <v>1</v>
      </c>
      <c r="R282" s="82">
        <f t="shared" si="61"/>
        <v>1530000</v>
      </c>
      <c r="S282" s="82">
        <f t="shared" si="60"/>
        <v>1530000</v>
      </c>
      <c r="T282" s="82">
        <f t="shared" si="58"/>
        <v>0</v>
      </c>
      <c r="U282" s="82">
        <f t="shared" si="62"/>
        <v>1530000</v>
      </c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</row>
    <row r="283" spans="1:104" s="48" customFormat="1" ht="20.25" customHeight="1">
      <c r="A283" s="118">
        <v>137</v>
      </c>
      <c r="B283" s="126" t="s">
        <v>46</v>
      </c>
      <c r="C283" s="342" t="s">
        <v>1175</v>
      </c>
      <c r="D283" s="156" t="s">
        <v>1176</v>
      </c>
      <c r="E283" s="102" t="s">
        <v>402</v>
      </c>
      <c r="F283" s="80" t="s">
        <v>1138</v>
      </c>
      <c r="G283" s="103">
        <v>16</v>
      </c>
      <c r="H283" s="126">
        <v>1000</v>
      </c>
      <c r="I283" s="126">
        <v>2</v>
      </c>
      <c r="J283" s="127" t="s">
        <v>40</v>
      </c>
      <c r="K283" s="128">
        <v>1</v>
      </c>
      <c r="L283" s="126"/>
      <c r="M283" s="424">
        <f>G283*H283*5/100</f>
        <v>800</v>
      </c>
      <c r="N283" s="424">
        <f>M283*0.15*7</f>
        <v>840</v>
      </c>
      <c r="O283" s="424">
        <f>M283*6.6*7+N283*2</f>
        <v>38640</v>
      </c>
      <c r="P283" s="126">
        <v>1</v>
      </c>
      <c r="Q283" s="126">
        <v>1</v>
      </c>
      <c r="R283" s="82">
        <f t="shared" si="61"/>
        <v>1530000</v>
      </c>
      <c r="S283" s="82">
        <f t="shared" si="60"/>
        <v>1530000</v>
      </c>
      <c r="T283" s="82">
        <f t="shared" si="58"/>
        <v>0</v>
      </c>
      <c r="U283" s="82">
        <f t="shared" si="62"/>
        <v>1530000</v>
      </c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</row>
    <row r="284" spans="1:104" s="48" customFormat="1" ht="20.25" customHeight="1">
      <c r="A284" s="118">
        <v>138</v>
      </c>
      <c r="B284" s="126" t="s">
        <v>46</v>
      </c>
      <c r="C284" s="342" t="s">
        <v>1185</v>
      </c>
      <c r="D284" s="156" t="s">
        <v>1186</v>
      </c>
      <c r="E284" s="102" t="s">
        <v>768</v>
      </c>
      <c r="F284" s="80" t="s">
        <v>1138</v>
      </c>
      <c r="G284" s="103">
        <v>13</v>
      </c>
      <c r="H284" s="126">
        <v>1000</v>
      </c>
      <c r="I284" s="126">
        <v>3</v>
      </c>
      <c r="J284" s="127" t="s">
        <v>40</v>
      </c>
      <c r="K284" s="128">
        <v>1</v>
      </c>
      <c r="L284" s="126"/>
      <c r="M284" s="424">
        <f>G284*H284*5/100</f>
        <v>650</v>
      </c>
      <c r="N284" s="424">
        <f>M284*0.15*7</f>
        <v>682.5</v>
      </c>
      <c r="O284" s="424">
        <f>M284*6.6*7+N284*2</f>
        <v>31395</v>
      </c>
      <c r="P284" s="126">
        <v>1</v>
      </c>
      <c r="Q284" s="126">
        <v>1</v>
      </c>
      <c r="R284" s="82">
        <f t="shared" si="61"/>
        <v>1530000</v>
      </c>
      <c r="S284" s="82">
        <f t="shared" si="60"/>
        <v>1530000</v>
      </c>
      <c r="T284" s="82">
        <f t="shared" si="58"/>
        <v>0</v>
      </c>
      <c r="U284" s="82">
        <f t="shared" si="62"/>
        <v>1530000</v>
      </c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</row>
    <row r="285" spans="1:104" s="48" customFormat="1" ht="20.25" customHeight="1">
      <c r="A285" s="118">
        <v>139</v>
      </c>
      <c r="B285" s="126" t="s">
        <v>17</v>
      </c>
      <c r="C285" s="342" t="s">
        <v>1343</v>
      </c>
      <c r="D285" s="156" t="s">
        <v>558</v>
      </c>
      <c r="E285" s="102" t="s">
        <v>384</v>
      </c>
      <c r="F285" s="80" t="s">
        <v>1138</v>
      </c>
      <c r="G285" s="103">
        <v>7</v>
      </c>
      <c r="H285" s="126">
        <v>800</v>
      </c>
      <c r="I285" s="126">
        <v>2</v>
      </c>
      <c r="J285" s="127" t="s">
        <v>40</v>
      </c>
      <c r="K285" s="128">
        <v>1</v>
      </c>
      <c r="L285" s="126"/>
      <c r="M285" s="424">
        <f>G285*H285/5</f>
        <v>1120</v>
      </c>
      <c r="N285" s="424">
        <f>M285*0.15*5.5</f>
        <v>924</v>
      </c>
      <c r="O285" s="424">
        <f>M285*6.6*5.5+N285*2</f>
        <v>42504</v>
      </c>
      <c r="P285" s="126">
        <v>1</v>
      </c>
      <c r="Q285" s="126">
        <v>1</v>
      </c>
      <c r="R285" s="82">
        <f t="shared" si="61"/>
        <v>1530000</v>
      </c>
      <c r="S285" s="82">
        <f t="shared" si="60"/>
        <v>1530000</v>
      </c>
      <c r="T285" s="82">
        <f t="shared" si="58"/>
        <v>0</v>
      </c>
      <c r="U285" s="82">
        <f t="shared" si="62"/>
        <v>1530000</v>
      </c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</row>
    <row r="286" spans="1:22" s="10" customFormat="1" ht="20.25" customHeight="1">
      <c r="A286" s="118">
        <v>140</v>
      </c>
      <c r="B286" s="126" t="s">
        <v>17</v>
      </c>
      <c r="C286" s="340" t="s">
        <v>1344</v>
      </c>
      <c r="D286" s="156" t="s">
        <v>1345</v>
      </c>
      <c r="E286" s="117" t="s">
        <v>402</v>
      </c>
      <c r="F286" s="80" t="s">
        <v>1138</v>
      </c>
      <c r="G286" s="103">
        <v>8</v>
      </c>
      <c r="H286" s="126">
        <v>500</v>
      </c>
      <c r="I286" s="126">
        <v>1</v>
      </c>
      <c r="J286" s="127" t="s">
        <v>62</v>
      </c>
      <c r="K286" s="128">
        <v>1</v>
      </c>
      <c r="L286" s="126"/>
      <c r="M286" s="424">
        <f aca="true" t="shared" si="63" ref="M286:M296">G286*H286/5</f>
        <v>800</v>
      </c>
      <c r="N286" s="424">
        <f aca="true" t="shared" si="64" ref="N286:N298">M286*0.15*5.5</f>
        <v>660</v>
      </c>
      <c r="O286" s="424">
        <f aca="true" t="shared" si="65" ref="O286:O296">M286*6.6*5.5+N286*2</f>
        <v>30360</v>
      </c>
      <c r="P286" s="126">
        <v>1</v>
      </c>
      <c r="Q286" s="126">
        <v>1</v>
      </c>
      <c r="R286" s="82">
        <f t="shared" si="61"/>
        <v>1530000</v>
      </c>
      <c r="S286" s="82">
        <f t="shared" si="60"/>
        <v>1530000</v>
      </c>
      <c r="T286" s="82">
        <f t="shared" si="58"/>
        <v>0</v>
      </c>
      <c r="U286" s="82">
        <f t="shared" si="62"/>
        <v>1530000</v>
      </c>
      <c r="V286" s="42"/>
    </row>
    <row r="287" spans="1:22" s="10" customFormat="1" ht="20.25" customHeight="1">
      <c r="A287" s="118">
        <v>141</v>
      </c>
      <c r="B287" s="129" t="s">
        <v>17</v>
      </c>
      <c r="C287" s="338" t="s">
        <v>1289</v>
      </c>
      <c r="D287" s="228" t="s">
        <v>1290</v>
      </c>
      <c r="E287" s="130" t="s">
        <v>386</v>
      </c>
      <c r="F287" s="80" t="s">
        <v>1138</v>
      </c>
      <c r="G287" s="131">
        <v>9</v>
      </c>
      <c r="H287" s="129">
        <v>600</v>
      </c>
      <c r="I287" s="129">
        <v>1</v>
      </c>
      <c r="J287" s="132" t="s">
        <v>62</v>
      </c>
      <c r="K287" s="133">
        <v>1</v>
      </c>
      <c r="L287" s="129"/>
      <c r="M287" s="424">
        <f t="shared" si="63"/>
        <v>1080</v>
      </c>
      <c r="N287" s="424">
        <f t="shared" si="64"/>
        <v>891</v>
      </c>
      <c r="O287" s="424">
        <f t="shared" si="65"/>
        <v>40986</v>
      </c>
      <c r="P287" s="129">
        <v>1</v>
      </c>
      <c r="Q287" s="129">
        <v>1</v>
      </c>
      <c r="R287" s="111">
        <f t="shared" si="61"/>
        <v>1530000</v>
      </c>
      <c r="S287" s="111">
        <f t="shared" si="60"/>
        <v>1530000</v>
      </c>
      <c r="T287" s="111">
        <f t="shared" si="58"/>
        <v>0</v>
      </c>
      <c r="U287" s="111">
        <f aca="true" t="shared" si="66" ref="U287:U292">R287*Q287*P287</f>
        <v>1530000</v>
      </c>
      <c r="V287" s="42"/>
    </row>
    <row r="288" spans="1:22" s="10" customFormat="1" ht="20.25" customHeight="1">
      <c r="A288" s="118">
        <v>142</v>
      </c>
      <c r="B288" s="129" t="s">
        <v>17</v>
      </c>
      <c r="C288" s="338" t="s">
        <v>1291</v>
      </c>
      <c r="D288" s="228" t="s">
        <v>1292</v>
      </c>
      <c r="E288" s="130" t="s">
        <v>386</v>
      </c>
      <c r="F288" s="80" t="s">
        <v>1138</v>
      </c>
      <c r="G288" s="131">
        <v>8</v>
      </c>
      <c r="H288" s="129">
        <v>1000</v>
      </c>
      <c r="I288" s="129">
        <v>1</v>
      </c>
      <c r="J288" s="132" t="s">
        <v>62</v>
      </c>
      <c r="K288" s="133">
        <v>1</v>
      </c>
      <c r="L288" s="129"/>
      <c r="M288" s="424">
        <f t="shared" si="63"/>
        <v>1600</v>
      </c>
      <c r="N288" s="424">
        <f t="shared" si="64"/>
        <v>1320</v>
      </c>
      <c r="O288" s="424">
        <f t="shared" si="65"/>
        <v>60720</v>
      </c>
      <c r="P288" s="129">
        <v>1</v>
      </c>
      <c r="Q288" s="129">
        <v>1</v>
      </c>
      <c r="R288" s="111">
        <f t="shared" si="61"/>
        <v>1530000</v>
      </c>
      <c r="S288" s="111">
        <f t="shared" si="60"/>
        <v>1530000</v>
      </c>
      <c r="T288" s="111">
        <f t="shared" si="58"/>
        <v>0</v>
      </c>
      <c r="U288" s="111">
        <f t="shared" si="66"/>
        <v>1530000</v>
      </c>
      <c r="V288" s="42"/>
    </row>
    <row r="289" spans="1:22" s="10" customFormat="1" ht="27" customHeight="1">
      <c r="A289" s="118">
        <v>143</v>
      </c>
      <c r="B289" s="129" t="s">
        <v>17</v>
      </c>
      <c r="C289" s="338" t="s">
        <v>1293</v>
      </c>
      <c r="D289" s="228" t="s">
        <v>1294</v>
      </c>
      <c r="E289" s="130" t="s">
        <v>374</v>
      </c>
      <c r="F289" s="80" t="s">
        <v>1138</v>
      </c>
      <c r="G289" s="131">
        <v>14</v>
      </c>
      <c r="H289" s="129">
        <v>800</v>
      </c>
      <c r="I289" s="129">
        <v>1</v>
      </c>
      <c r="J289" s="132" t="s">
        <v>62</v>
      </c>
      <c r="K289" s="133">
        <v>1</v>
      </c>
      <c r="L289" s="129"/>
      <c r="M289" s="424">
        <f t="shared" si="63"/>
        <v>2240</v>
      </c>
      <c r="N289" s="424">
        <f t="shared" si="64"/>
        <v>1848</v>
      </c>
      <c r="O289" s="424">
        <f t="shared" si="65"/>
        <v>85008</v>
      </c>
      <c r="P289" s="129">
        <v>1</v>
      </c>
      <c r="Q289" s="129">
        <v>1</v>
      </c>
      <c r="R289" s="111">
        <f t="shared" si="61"/>
        <v>1530000</v>
      </c>
      <c r="S289" s="111">
        <f t="shared" si="60"/>
        <v>1530000</v>
      </c>
      <c r="T289" s="111">
        <f t="shared" si="58"/>
        <v>0</v>
      </c>
      <c r="U289" s="111">
        <f t="shared" si="66"/>
        <v>1530000</v>
      </c>
      <c r="V289" s="42"/>
    </row>
    <row r="290" spans="1:22" s="10" customFormat="1" ht="20.25" customHeight="1">
      <c r="A290" s="118">
        <v>144</v>
      </c>
      <c r="B290" s="129" t="s">
        <v>1229</v>
      </c>
      <c r="C290" s="338" t="s">
        <v>1295</v>
      </c>
      <c r="D290" s="228" t="s">
        <v>1296</v>
      </c>
      <c r="E290" s="130" t="s">
        <v>374</v>
      </c>
      <c r="F290" s="80" t="s">
        <v>1138</v>
      </c>
      <c r="G290" s="131">
        <v>25</v>
      </c>
      <c r="H290" s="129">
        <v>1700</v>
      </c>
      <c r="I290" s="129">
        <v>1</v>
      </c>
      <c r="J290" s="132" t="s">
        <v>62</v>
      </c>
      <c r="K290" s="133">
        <v>1</v>
      </c>
      <c r="L290" s="129"/>
      <c r="M290" s="82">
        <f>(8*H290/5)+(18*H290*5/100)</f>
        <v>4250</v>
      </c>
      <c r="N290" s="82">
        <f>(8*H290/5*0.15*5.5)+(18*H290*5/100*0.15*7)</f>
        <v>3850.5</v>
      </c>
      <c r="O290" s="82">
        <f>((H290*8/5*6.6*5.5)+(H290*8/5*5.5*0.15*2))+((H290*18*5/100*6.6*7)+(H290*18*5/100*0.15*7*2))</f>
        <v>177123</v>
      </c>
      <c r="P290" s="129">
        <v>1</v>
      </c>
      <c r="Q290" s="129">
        <v>1</v>
      </c>
      <c r="R290" s="111">
        <f t="shared" si="61"/>
        <v>1530000</v>
      </c>
      <c r="S290" s="111">
        <f t="shared" si="60"/>
        <v>1530000</v>
      </c>
      <c r="T290" s="111">
        <f t="shared" si="58"/>
        <v>0</v>
      </c>
      <c r="U290" s="111">
        <f t="shared" si="66"/>
        <v>1530000</v>
      </c>
      <c r="V290" s="42"/>
    </row>
    <row r="291" spans="1:22" s="10" customFormat="1" ht="20.25" customHeight="1">
      <c r="A291" s="118">
        <v>145</v>
      </c>
      <c r="B291" s="129" t="s">
        <v>1229</v>
      </c>
      <c r="C291" s="338" t="s">
        <v>1297</v>
      </c>
      <c r="D291" s="228" t="s">
        <v>1298</v>
      </c>
      <c r="E291" s="130" t="s">
        <v>384</v>
      </c>
      <c r="F291" s="80" t="s">
        <v>1138</v>
      </c>
      <c r="G291" s="131">
        <v>18</v>
      </c>
      <c r="H291" s="129">
        <v>1000</v>
      </c>
      <c r="I291" s="129">
        <v>1</v>
      </c>
      <c r="J291" s="132" t="s">
        <v>62</v>
      </c>
      <c r="K291" s="133">
        <v>1</v>
      </c>
      <c r="L291" s="129"/>
      <c r="M291" s="82">
        <f>(8*H291/5)+(18*H291*5/100)</f>
        <v>2500</v>
      </c>
      <c r="N291" s="82">
        <f>(8*H291/5*0.15*5.5)+(18*H291*5/100*0.15*7)</f>
        <v>2265</v>
      </c>
      <c r="O291" s="82">
        <f>((H291*8/5*6.6*5.5)+(H291*8/5*5.5*0.15*2))+((H291*18*5/100*6.6*7)+(H291*18*5/100*0.15*7*2))</f>
        <v>104190</v>
      </c>
      <c r="P291" s="129">
        <v>1</v>
      </c>
      <c r="Q291" s="129">
        <v>1</v>
      </c>
      <c r="R291" s="111">
        <f t="shared" si="61"/>
        <v>1530000</v>
      </c>
      <c r="S291" s="111">
        <f t="shared" si="60"/>
        <v>1530000</v>
      </c>
      <c r="T291" s="111">
        <f t="shared" si="58"/>
        <v>0</v>
      </c>
      <c r="U291" s="111">
        <f t="shared" si="66"/>
        <v>1530000</v>
      </c>
      <c r="V291" s="42"/>
    </row>
    <row r="292" spans="1:22" s="10" customFormat="1" ht="20.25" customHeight="1">
      <c r="A292" s="118">
        <v>146</v>
      </c>
      <c r="B292" s="129" t="s">
        <v>1229</v>
      </c>
      <c r="C292" s="338" t="s">
        <v>1299</v>
      </c>
      <c r="D292" s="228" t="s">
        <v>1274</v>
      </c>
      <c r="E292" s="130" t="s">
        <v>396</v>
      </c>
      <c r="F292" s="121" t="s">
        <v>1147</v>
      </c>
      <c r="G292" s="131">
        <v>4</v>
      </c>
      <c r="H292" s="129">
        <v>1000</v>
      </c>
      <c r="I292" s="129">
        <v>1</v>
      </c>
      <c r="J292" s="132" t="s">
        <v>77</v>
      </c>
      <c r="K292" s="133">
        <v>1</v>
      </c>
      <c r="L292" s="129"/>
      <c r="M292" s="82">
        <f>(8*H292/5)+(18*H292*5/100)</f>
        <v>2500</v>
      </c>
      <c r="N292" s="82">
        <f>(8*H292/5*0.15*5.5)+(18*H292*5/100*0.15*7)</f>
        <v>2265</v>
      </c>
      <c r="O292" s="82">
        <f>((H292*8/5*6.6*5.5)+(H292*8/5*5.5*0.15*2))+((H292*18*5/100*6.6*7)+(H292*18*5/100*0.15*7*2))</f>
        <v>104190</v>
      </c>
      <c r="P292" s="129">
        <v>1</v>
      </c>
      <c r="Q292" s="129">
        <v>1</v>
      </c>
      <c r="R292" s="111">
        <f t="shared" si="61"/>
        <v>1530000</v>
      </c>
      <c r="S292" s="111">
        <f t="shared" si="60"/>
        <v>1530000</v>
      </c>
      <c r="T292" s="111">
        <f t="shared" si="58"/>
        <v>0</v>
      </c>
      <c r="U292" s="111">
        <f t="shared" si="66"/>
        <v>1530000</v>
      </c>
      <c r="V292" s="42"/>
    </row>
    <row r="293" spans="1:22" s="10" customFormat="1" ht="20.25" customHeight="1">
      <c r="A293" s="118">
        <v>147</v>
      </c>
      <c r="B293" s="129" t="s">
        <v>17</v>
      </c>
      <c r="C293" s="338" t="s">
        <v>1300</v>
      </c>
      <c r="D293" s="228" t="s">
        <v>1301</v>
      </c>
      <c r="E293" s="130" t="s">
        <v>378</v>
      </c>
      <c r="F293" s="121" t="s">
        <v>1147</v>
      </c>
      <c r="G293" s="131">
        <v>10</v>
      </c>
      <c r="H293" s="129">
        <v>1000</v>
      </c>
      <c r="I293" s="129">
        <v>1</v>
      </c>
      <c r="J293" s="132" t="s">
        <v>62</v>
      </c>
      <c r="K293" s="133">
        <v>1</v>
      </c>
      <c r="L293" s="129"/>
      <c r="M293" s="424">
        <f t="shared" si="63"/>
        <v>2000</v>
      </c>
      <c r="N293" s="424">
        <f t="shared" si="64"/>
        <v>1650</v>
      </c>
      <c r="O293" s="424">
        <f t="shared" si="65"/>
        <v>75900</v>
      </c>
      <c r="P293" s="82">
        <v>1</v>
      </c>
      <c r="Q293" s="82">
        <v>1</v>
      </c>
      <c r="R293" s="82">
        <f>45*$R$2</f>
        <v>1012500</v>
      </c>
      <c r="S293" s="82">
        <f>R293*Q293*P293*K293</f>
        <v>1012500</v>
      </c>
      <c r="T293" s="82">
        <f>L293*P293*Q293*R293</f>
        <v>0</v>
      </c>
      <c r="U293" s="82">
        <f>S293+T293</f>
        <v>1012500</v>
      </c>
      <c r="V293" s="42"/>
    </row>
    <row r="294" spans="1:22" s="10" customFormat="1" ht="20.25" customHeight="1">
      <c r="A294" s="118">
        <v>148</v>
      </c>
      <c r="B294" s="126" t="s">
        <v>17</v>
      </c>
      <c r="C294" s="339" t="s">
        <v>1374</v>
      </c>
      <c r="D294" s="155" t="s">
        <v>1375</v>
      </c>
      <c r="E294" s="102" t="s">
        <v>1376</v>
      </c>
      <c r="F294" s="80" t="s">
        <v>1377</v>
      </c>
      <c r="G294" s="103">
        <v>4</v>
      </c>
      <c r="H294" s="126">
        <v>800</v>
      </c>
      <c r="I294" s="126">
        <v>1</v>
      </c>
      <c r="J294" s="127" t="s">
        <v>62</v>
      </c>
      <c r="K294" s="128">
        <v>1</v>
      </c>
      <c r="L294" s="126"/>
      <c r="M294" s="424">
        <f t="shared" si="63"/>
        <v>640</v>
      </c>
      <c r="N294" s="424">
        <f t="shared" si="64"/>
        <v>528</v>
      </c>
      <c r="O294" s="424">
        <f t="shared" si="65"/>
        <v>24288</v>
      </c>
      <c r="P294" s="82">
        <v>1</v>
      </c>
      <c r="Q294" s="82">
        <v>1</v>
      </c>
      <c r="R294" s="82">
        <f>45*$R$2</f>
        <v>1012500</v>
      </c>
      <c r="S294" s="82">
        <f t="shared" si="60"/>
        <v>1012500</v>
      </c>
      <c r="T294" s="82">
        <f t="shared" si="58"/>
        <v>0</v>
      </c>
      <c r="U294" s="82">
        <f>S294+T294</f>
        <v>1012500</v>
      </c>
      <c r="V294" s="42"/>
    </row>
    <row r="295" spans="1:21" s="42" customFormat="1" ht="20.25" customHeight="1">
      <c r="A295" s="118">
        <v>149</v>
      </c>
      <c r="B295" s="126" t="s">
        <v>1229</v>
      </c>
      <c r="C295" s="343" t="s">
        <v>1378</v>
      </c>
      <c r="D295" s="155" t="s">
        <v>1379</v>
      </c>
      <c r="E295" s="102" t="s">
        <v>1376</v>
      </c>
      <c r="F295" s="80" t="s">
        <v>1138</v>
      </c>
      <c r="G295" s="103">
        <v>26</v>
      </c>
      <c r="H295" s="126">
        <v>1000</v>
      </c>
      <c r="I295" s="126">
        <v>3</v>
      </c>
      <c r="J295" s="127" t="s">
        <v>21</v>
      </c>
      <c r="K295" s="128">
        <v>1</v>
      </c>
      <c r="L295" s="126"/>
      <c r="M295" s="82">
        <f>(8*H295/5)+(18*H295*5/100)</f>
        <v>2500</v>
      </c>
      <c r="N295" s="82">
        <f>(8*H295/5*0.15*5.5)+(18*H295*5/100*0.15*7)</f>
        <v>2265</v>
      </c>
      <c r="O295" s="82">
        <f>((H295*8/5*6.6*5.5)+(H295*8/5*5.5*0.15*2))+((H295*18*5/100*6.6*7)+(H295*18*5/100*0.15*7*2))</f>
        <v>104190</v>
      </c>
      <c r="P295" s="126">
        <v>1</v>
      </c>
      <c r="Q295" s="126">
        <v>1</v>
      </c>
      <c r="R295" s="111">
        <f t="shared" si="61"/>
        <v>1530000</v>
      </c>
      <c r="S295" s="111">
        <f>R294*Q294*P294*K294</f>
        <v>1012500</v>
      </c>
      <c r="T295" s="111">
        <f t="shared" si="58"/>
        <v>0</v>
      </c>
      <c r="U295" s="111">
        <f>R294*Q294*P294</f>
        <v>1012500</v>
      </c>
    </row>
    <row r="296" spans="1:21" s="42" customFormat="1" ht="20.25" customHeight="1">
      <c r="A296" s="118">
        <v>150</v>
      </c>
      <c r="B296" s="126" t="s">
        <v>17</v>
      </c>
      <c r="C296" s="339" t="s">
        <v>1400</v>
      </c>
      <c r="D296" s="155" t="s">
        <v>1401</v>
      </c>
      <c r="E296" s="102" t="s">
        <v>384</v>
      </c>
      <c r="F296" s="80" t="s">
        <v>1138</v>
      </c>
      <c r="G296" s="103">
        <v>14</v>
      </c>
      <c r="H296" s="126">
        <v>2600</v>
      </c>
      <c r="I296" s="126">
        <v>3</v>
      </c>
      <c r="J296" s="127" t="s">
        <v>40</v>
      </c>
      <c r="K296" s="128">
        <v>1</v>
      </c>
      <c r="L296" s="126"/>
      <c r="M296" s="424">
        <f t="shared" si="63"/>
        <v>7280</v>
      </c>
      <c r="N296" s="424">
        <f t="shared" si="64"/>
        <v>6006</v>
      </c>
      <c r="O296" s="424">
        <f t="shared" si="65"/>
        <v>276276</v>
      </c>
      <c r="P296" s="82">
        <v>1</v>
      </c>
      <c r="Q296" s="82">
        <v>1</v>
      </c>
      <c r="R296" s="82">
        <f t="shared" si="61"/>
        <v>1530000</v>
      </c>
      <c r="S296" s="82">
        <f aca="true" t="shared" si="67" ref="S296:S308">R296*Q296*P296*K296</f>
        <v>1530000</v>
      </c>
      <c r="T296" s="82">
        <f t="shared" si="58"/>
        <v>0</v>
      </c>
      <c r="U296" s="82">
        <f aca="true" t="shared" si="68" ref="U296:U308">S296+T296</f>
        <v>1530000</v>
      </c>
    </row>
    <row r="297" spans="1:21" s="42" customFormat="1" ht="20.25" customHeight="1">
      <c r="A297" s="118">
        <v>151</v>
      </c>
      <c r="B297" s="126" t="s">
        <v>46</v>
      </c>
      <c r="C297" s="339" t="s">
        <v>1414</v>
      </c>
      <c r="D297" s="155" t="s">
        <v>1415</v>
      </c>
      <c r="E297" s="102" t="s">
        <v>1069</v>
      </c>
      <c r="F297" s="80" t="s">
        <v>1138</v>
      </c>
      <c r="G297" s="103">
        <v>9</v>
      </c>
      <c r="H297" s="126">
        <v>1000</v>
      </c>
      <c r="I297" s="126">
        <v>2</v>
      </c>
      <c r="J297" s="127" t="s">
        <v>62</v>
      </c>
      <c r="K297" s="128">
        <v>1</v>
      </c>
      <c r="L297" s="126"/>
      <c r="M297" s="424">
        <f>G297*H297*5/100</f>
        <v>450</v>
      </c>
      <c r="N297" s="424">
        <f>M297*0.15*7</f>
        <v>472.5</v>
      </c>
      <c r="O297" s="424">
        <f>M297*6.6*7+N297*2</f>
        <v>21735</v>
      </c>
      <c r="P297" s="82">
        <v>1</v>
      </c>
      <c r="Q297" s="82">
        <v>1</v>
      </c>
      <c r="R297" s="82">
        <f t="shared" si="61"/>
        <v>1530000</v>
      </c>
      <c r="S297" s="82">
        <f t="shared" si="67"/>
        <v>1530000</v>
      </c>
      <c r="T297" s="82">
        <f t="shared" si="58"/>
        <v>0</v>
      </c>
      <c r="U297" s="82">
        <f t="shared" si="68"/>
        <v>1530000</v>
      </c>
    </row>
    <row r="298" spans="1:21" s="42" customFormat="1" ht="20.25" customHeight="1">
      <c r="A298" s="118">
        <v>152</v>
      </c>
      <c r="B298" s="126" t="s">
        <v>17</v>
      </c>
      <c r="C298" s="339" t="s">
        <v>1471</v>
      </c>
      <c r="D298" s="155" t="s">
        <v>1472</v>
      </c>
      <c r="E298" s="102" t="s">
        <v>389</v>
      </c>
      <c r="F298" s="80" t="s">
        <v>1138</v>
      </c>
      <c r="G298" s="103">
        <v>10</v>
      </c>
      <c r="H298" s="126">
        <v>900</v>
      </c>
      <c r="I298" s="126">
        <v>2</v>
      </c>
      <c r="J298" s="127" t="s">
        <v>62</v>
      </c>
      <c r="K298" s="128">
        <v>1</v>
      </c>
      <c r="L298" s="126"/>
      <c r="M298" s="424">
        <f>G298*H298/5</f>
        <v>1800</v>
      </c>
      <c r="N298" s="424">
        <f t="shared" si="64"/>
        <v>1485</v>
      </c>
      <c r="O298" s="424">
        <f>M298*6.6*5.5+N298*2</f>
        <v>68310</v>
      </c>
      <c r="P298" s="82">
        <v>1</v>
      </c>
      <c r="Q298" s="82">
        <v>1</v>
      </c>
      <c r="R298" s="82">
        <f t="shared" si="61"/>
        <v>1530000</v>
      </c>
      <c r="S298" s="82">
        <f t="shared" si="67"/>
        <v>1530000</v>
      </c>
      <c r="T298" s="82">
        <f t="shared" si="58"/>
        <v>0</v>
      </c>
      <c r="U298" s="82">
        <f t="shared" si="68"/>
        <v>1530000</v>
      </c>
    </row>
    <row r="299" spans="1:21" s="42" customFormat="1" ht="20.25" customHeight="1">
      <c r="A299" s="118">
        <v>153</v>
      </c>
      <c r="B299" s="126" t="s">
        <v>46</v>
      </c>
      <c r="C299" s="339" t="s">
        <v>1476</v>
      </c>
      <c r="D299" s="155" t="s">
        <v>1475</v>
      </c>
      <c r="E299" s="102" t="s">
        <v>768</v>
      </c>
      <c r="F299" s="80" t="s">
        <v>1138</v>
      </c>
      <c r="G299" s="103">
        <v>13</v>
      </c>
      <c r="H299" s="126">
        <v>1200</v>
      </c>
      <c r="I299" s="126">
        <v>2</v>
      </c>
      <c r="J299" s="127" t="s">
        <v>40</v>
      </c>
      <c r="K299" s="128">
        <v>1</v>
      </c>
      <c r="L299" s="126"/>
      <c r="M299" s="424">
        <f>G299*H299*5/100</f>
        <v>780</v>
      </c>
      <c r="N299" s="424">
        <f>M299*0.15*7</f>
        <v>819</v>
      </c>
      <c r="O299" s="424">
        <f>M299*6.6*7+N299*2</f>
        <v>37674</v>
      </c>
      <c r="P299" s="82">
        <v>1</v>
      </c>
      <c r="Q299" s="82">
        <v>1</v>
      </c>
      <c r="R299" s="82">
        <f t="shared" si="61"/>
        <v>1530000</v>
      </c>
      <c r="S299" s="82">
        <f t="shared" si="67"/>
        <v>1530000</v>
      </c>
      <c r="T299" s="82">
        <f t="shared" si="58"/>
        <v>0</v>
      </c>
      <c r="U299" s="82">
        <f t="shared" si="68"/>
        <v>1530000</v>
      </c>
    </row>
    <row r="300" spans="1:21" s="42" customFormat="1" ht="20.25" customHeight="1">
      <c r="A300" s="118">
        <v>154</v>
      </c>
      <c r="B300" s="126" t="s">
        <v>46</v>
      </c>
      <c r="C300" s="339" t="s">
        <v>1477</v>
      </c>
      <c r="D300" s="155" t="s">
        <v>1475</v>
      </c>
      <c r="E300" s="102" t="s">
        <v>768</v>
      </c>
      <c r="F300" s="80" t="s">
        <v>1138</v>
      </c>
      <c r="G300" s="103">
        <v>13</v>
      </c>
      <c r="H300" s="126">
        <v>1200</v>
      </c>
      <c r="I300" s="126">
        <v>2</v>
      </c>
      <c r="J300" s="127" t="s">
        <v>40</v>
      </c>
      <c r="K300" s="128">
        <v>1</v>
      </c>
      <c r="L300" s="126"/>
      <c r="M300" s="424">
        <f aca="true" t="shared" si="69" ref="M300:M310">G300*H300*5/100</f>
        <v>780</v>
      </c>
      <c r="N300" s="424">
        <f aca="true" t="shared" si="70" ref="N300:N310">M300*0.15*7</f>
        <v>819</v>
      </c>
      <c r="O300" s="424">
        <f aca="true" t="shared" si="71" ref="O300:O310">M300*6.6*7+N300*2</f>
        <v>37674</v>
      </c>
      <c r="P300" s="82">
        <v>1</v>
      </c>
      <c r="Q300" s="82">
        <v>1</v>
      </c>
      <c r="R300" s="82">
        <f t="shared" si="61"/>
        <v>1530000</v>
      </c>
      <c r="S300" s="82">
        <f t="shared" si="67"/>
        <v>1530000</v>
      </c>
      <c r="T300" s="82">
        <f t="shared" si="58"/>
        <v>0</v>
      </c>
      <c r="U300" s="82">
        <f t="shared" si="68"/>
        <v>1530000</v>
      </c>
    </row>
    <row r="301" spans="1:21" s="42" customFormat="1" ht="20.25" customHeight="1">
      <c r="A301" s="118">
        <v>155</v>
      </c>
      <c r="B301" s="126" t="s">
        <v>46</v>
      </c>
      <c r="C301" s="339" t="s">
        <v>1478</v>
      </c>
      <c r="D301" s="155" t="s">
        <v>1475</v>
      </c>
      <c r="E301" s="102" t="s">
        <v>768</v>
      </c>
      <c r="F301" s="80" t="s">
        <v>1138</v>
      </c>
      <c r="G301" s="103">
        <v>13</v>
      </c>
      <c r="H301" s="126">
        <v>1500</v>
      </c>
      <c r="I301" s="126">
        <v>3</v>
      </c>
      <c r="J301" s="127" t="s">
        <v>25</v>
      </c>
      <c r="K301" s="128">
        <v>1</v>
      </c>
      <c r="L301" s="126"/>
      <c r="M301" s="424">
        <f t="shared" si="69"/>
        <v>975</v>
      </c>
      <c r="N301" s="424">
        <f t="shared" si="70"/>
        <v>1023.75</v>
      </c>
      <c r="O301" s="424">
        <f t="shared" si="71"/>
        <v>47092.5</v>
      </c>
      <c r="P301" s="82">
        <v>1</v>
      </c>
      <c r="Q301" s="82">
        <v>1</v>
      </c>
      <c r="R301" s="82">
        <f t="shared" si="61"/>
        <v>1530000</v>
      </c>
      <c r="S301" s="82">
        <f t="shared" si="67"/>
        <v>1530000</v>
      </c>
      <c r="T301" s="82">
        <f t="shared" si="58"/>
        <v>0</v>
      </c>
      <c r="U301" s="82">
        <f t="shared" si="68"/>
        <v>1530000</v>
      </c>
    </row>
    <row r="302" spans="1:21" s="42" customFormat="1" ht="20.25" customHeight="1">
      <c r="A302" s="118">
        <v>156</v>
      </c>
      <c r="B302" s="126" t="s">
        <v>46</v>
      </c>
      <c r="C302" s="339" t="s">
        <v>1479</v>
      </c>
      <c r="D302" s="155" t="s">
        <v>1475</v>
      </c>
      <c r="E302" s="102" t="s">
        <v>768</v>
      </c>
      <c r="F302" s="80" t="s">
        <v>1138</v>
      </c>
      <c r="G302" s="103">
        <v>13</v>
      </c>
      <c r="H302" s="126">
        <v>1200</v>
      </c>
      <c r="I302" s="126">
        <v>2</v>
      </c>
      <c r="J302" s="127" t="s">
        <v>40</v>
      </c>
      <c r="K302" s="128">
        <v>1</v>
      </c>
      <c r="L302" s="126"/>
      <c r="M302" s="424">
        <f t="shared" si="69"/>
        <v>780</v>
      </c>
      <c r="N302" s="424">
        <f t="shared" si="70"/>
        <v>819</v>
      </c>
      <c r="O302" s="424">
        <f t="shared" si="71"/>
        <v>37674</v>
      </c>
      <c r="P302" s="82">
        <v>1</v>
      </c>
      <c r="Q302" s="82">
        <v>1</v>
      </c>
      <c r="R302" s="82">
        <f t="shared" si="61"/>
        <v>1530000</v>
      </c>
      <c r="S302" s="82">
        <f t="shared" si="67"/>
        <v>1530000</v>
      </c>
      <c r="T302" s="82">
        <f t="shared" si="58"/>
        <v>0</v>
      </c>
      <c r="U302" s="82">
        <f t="shared" si="68"/>
        <v>1530000</v>
      </c>
    </row>
    <row r="303" spans="1:21" s="42" customFormat="1" ht="20.25" customHeight="1">
      <c r="A303" s="118">
        <v>157</v>
      </c>
      <c r="B303" s="126" t="s">
        <v>46</v>
      </c>
      <c r="C303" s="339" t="s">
        <v>1480</v>
      </c>
      <c r="D303" s="155" t="s">
        <v>1475</v>
      </c>
      <c r="E303" s="102" t="s">
        <v>768</v>
      </c>
      <c r="F303" s="80" t="s">
        <v>1138</v>
      </c>
      <c r="G303" s="103">
        <v>13</v>
      </c>
      <c r="H303" s="126">
        <v>1200</v>
      </c>
      <c r="I303" s="126">
        <v>2</v>
      </c>
      <c r="J303" s="127" t="s">
        <v>40</v>
      </c>
      <c r="K303" s="128">
        <v>1</v>
      </c>
      <c r="L303" s="126"/>
      <c r="M303" s="424">
        <f t="shared" si="69"/>
        <v>780</v>
      </c>
      <c r="N303" s="424">
        <f t="shared" si="70"/>
        <v>819</v>
      </c>
      <c r="O303" s="424">
        <f t="shared" si="71"/>
        <v>37674</v>
      </c>
      <c r="P303" s="82">
        <v>1</v>
      </c>
      <c r="Q303" s="82">
        <v>1</v>
      </c>
      <c r="R303" s="82">
        <f t="shared" si="61"/>
        <v>1530000</v>
      </c>
      <c r="S303" s="82">
        <f t="shared" si="67"/>
        <v>1530000</v>
      </c>
      <c r="T303" s="82">
        <f t="shared" si="58"/>
        <v>0</v>
      </c>
      <c r="U303" s="82">
        <f t="shared" si="68"/>
        <v>1530000</v>
      </c>
    </row>
    <row r="304" spans="1:21" s="42" customFormat="1" ht="20.25" customHeight="1">
      <c r="A304" s="118">
        <v>158</v>
      </c>
      <c r="B304" s="126" t="s">
        <v>46</v>
      </c>
      <c r="C304" s="339" t="s">
        <v>1481</v>
      </c>
      <c r="D304" s="155" t="s">
        <v>1475</v>
      </c>
      <c r="E304" s="102" t="s">
        <v>768</v>
      </c>
      <c r="F304" s="80" t="s">
        <v>1138</v>
      </c>
      <c r="G304" s="103">
        <v>13</v>
      </c>
      <c r="H304" s="126">
        <v>1500</v>
      </c>
      <c r="I304" s="126">
        <v>3</v>
      </c>
      <c r="J304" s="127" t="s">
        <v>25</v>
      </c>
      <c r="K304" s="128">
        <v>1</v>
      </c>
      <c r="L304" s="126"/>
      <c r="M304" s="424">
        <f t="shared" si="69"/>
        <v>975</v>
      </c>
      <c r="N304" s="424">
        <f t="shared" si="70"/>
        <v>1023.75</v>
      </c>
      <c r="O304" s="424">
        <f t="shared" si="71"/>
        <v>47092.5</v>
      </c>
      <c r="P304" s="82">
        <v>1</v>
      </c>
      <c r="Q304" s="82">
        <v>1</v>
      </c>
      <c r="R304" s="82">
        <f t="shared" si="61"/>
        <v>1530000</v>
      </c>
      <c r="S304" s="82">
        <f t="shared" si="67"/>
        <v>1530000</v>
      </c>
      <c r="T304" s="82">
        <f t="shared" si="58"/>
        <v>0</v>
      </c>
      <c r="U304" s="82">
        <f t="shared" si="68"/>
        <v>1530000</v>
      </c>
    </row>
    <row r="305" spans="1:21" s="42" customFormat="1" ht="20.25" customHeight="1">
      <c r="A305" s="118">
        <v>159</v>
      </c>
      <c r="B305" s="126" t="s">
        <v>46</v>
      </c>
      <c r="C305" s="339" t="s">
        <v>1482</v>
      </c>
      <c r="D305" s="155" t="s">
        <v>1475</v>
      </c>
      <c r="E305" s="102" t="s">
        <v>768</v>
      </c>
      <c r="F305" s="80" t="s">
        <v>1486</v>
      </c>
      <c r="G305" s="103">
        <v>16</v>
      </c>
      <c r="H305" s="126">
        <v>2000</v>
      </c>
      <c r="I305" s="126">
        <v>4</v>
      </c>
      <c r="J305" s="127" t="s">
        <v>25</v>
      </c>
      <c r="K305" s="128">
        <v>1</v>
      </c>
      <c r="L305" s="126"/>
      <c r="M305" s="424">
        <f t="shared" si="69"/>
        <v>1600</v>
      </c>
      <c r="N305" s="424">
        <f t="shared" si="70"/>
        <v>1680</v>
      </c>
      <c r="O305" s="424">
        <f t="shared" si="71"/>
        <v>77280</v>
      </c>
      <c r="P305" s="82">
        <v>1</v>
      </c>
      <c r="Q305" s="82">
        <v>1</v>
      </c>
      <c r="R305" s="82">
        <f t="shared" si="61"/>
        <v>1530000</v>
      </c>
      <c r="S305" s="82">
        <f t="shared" si="67"/>
        <v>1530000</v>
      </c>
      <c r="T305" s="82">
        <f t="shared" si="58"/>
        <v>0</v>
      </c>
      <c r="U305" s="82">
        <f t="shared" si="68"/>
        <v>1530000</v>
      </c>
    </row>
    <row r="306" spans="1:21" s="42" customFormat="1" ht="20.25" customHeight="1">
      <c r="A306" s="118">
        <v>160</v>
      </c>
      <c r="B306" s="126" t="s">
        <v>46</v>
      </c>
      <c r="C306" s="339" t="s">
        <v>1485</v>
      </c>
      <c r="D306" s="155" t="s">
        <v>1475</v>
      </c>
      <c r="E306" s="102" t="s">
        <v>768</v>
      </c>
      <c r="F306" s="80" t="s">
        <v>1486</v>
      </c>
      <c r="G306" s="103">
        <v>16</v>
      </c>
      <c r="H306" s="126">
        <v>2000</v>
      </c>
      <c r="I306" s="126">
        <v>4</v>
      </c>
      <c r="J306" s="127" t="s">
        <v>25</v>
      </c>
      <c r="K306" s="128">
        <v>1</v>
      </c>
      <c r="L306" s="126"/>
      <c r="M306" s="424">
        <f t="shared" si="69"/>
        <v>1600</v>
      </c>
      <c r="N306" s="424">
        <f t="shared" si="70"/>
        <v>1680</v>
      </c>
      <c r="O306" s="424">
        <f t="shared" si="71"/>
        <v>77280</v>
      </c>
      <c r="P306" s="82">
        <v>1</v>
      </c>
      <c r="Q306" s="82">
        <v>1</v>
      </c>
      <c r="R306" s="82">
        <f t="shared" si="61"/>
        <v>1530000</v>
      </c>
      <c r="S306" s="82">
        <f>R306*Q306*P306*K306</f>
        <v>1530000</v>
      </c>
      <c r="T306" s="82">
        <f>L306*P306*Q306*R306</f>
        <v>0</v>
      </c>
      <c r="U306" s="82">
        <f>S306+T306</f>
        <v>1530000</v>
      </c>
    </row>
    <row r="307" spans="1:21" s="42" customFormat="1" ht="20.25" customHeight="1">
      <c r="A307" s="118">
        <v>161</v>
      </c>
      <c r="B307" s="126" t="s">
        <v>46</v>
      </c>
      <c r="C307" s="339" t="s">
        <v>1483</v>
      </c>
      <c r="D307" s="155" t="s">
        <v>1475</v>
      </c>
      <c r="E307" s="102" t="s">
        <v>768</v>
      </c>
      <c r="F307" s="80" t="s">
        <v>1486</v>
      </c>
      <c r="G307" s="103">
        <v>16</v>
      </c>
      <c r="H307" s="126">
        <v>2000</v>
      </c>
      <c r="I307" s="126">
        <v>4</v>
      </c>
      <c r="J307" s="127" t="s">
        <v>25</v>
      </c>
      <c r="K307" s="128">
        <v>1</v>
      </c>
      <c r="L307" s="126"/>
      <c r="M307" s="424">
        <f t="shared" si="69"/>
        <v>1600</v>
      </c>
      <c r="N307" s="424">
        <f t="shared" si="70"/>
        <v>1680</v>
      </c>
      <c r="O307" s="424">
        <f t="shared" si="71"/>
        <v>77280</v>
      </c>
      <c r="P307" s="82">
        <v>1</v>
      </c>
      <c r="Q307" s="82">
        <v>1</v>
      </c>
      <c r="R307" s="82">
        <f t="shared" si="61"/>
        <v>1530000</v>
      </c>
      <c r="S307" s="82">
        <f t="shared" si="67"/>
        <v>1530000</v>
      </c>
      <c r="T307" s="82">
        <f t="shared" si="58"/>
        <v>0</v>
      </c>
      <c r="U307" s="82">
        <f t="shared" si="68"/>
        <v>1530000</v>
      </c>
    </row>
    <row r="308" spans="1:21" s="42" customFormat="1" ht="20.25" customHeight="1">
      <c r="A308" s="118">
        <v>162</v>
      </c>
      <c r="B308" s="126" t="s">
        <v>46</v>
      </c>
      <c r="C308" s="339" t="s">
        <v>1484</v>
      </c>
      <c r="D308" s="155" t="s">
        <v>1475</v>
      </c>
      <c r="E308" s="102" t="s">
        <v>768</v>
      </c>
      <c r="F308" s="80" t="s">
        <v>1486</v>
      </c>
      <c r="G308" s="103">
        <v>16</v>
      </c>
      <c r="H308" s="126">
        <v>2000</v>
      </c>
      <c r="I308" s="126">
        <v>4</v>
      </c>
      <c r="J308" s="127" t="s">
        <v>25</v>
      </c>
      <c r="K308" s="128">
        <v>1</v>
      </c>
      <c r="L308" s="126"/>
      <c r="M308" s="424">
        <f t="shared" si="69"/>
        <v>1600</v>
      </c>
      <c r="N308" s="424">
        <f t="shared" si="70"/>
        <v>1680</v>
      </c>
      <c r="O308" s="424">
        <f t="shared" si="71"/>
        <v>77280</v>
      </c>
      <c r="P308" s="82">
        <v>1</v>
      </c>
      <c r="Q308" s="82">
        <v>1</v>
      </c>
      <c r="R308" s="82">
        <f t="shared" si="61"/>
        <v>1530000</v>
      </c>
      <c r="S308" s="82">
        <f t="shared" si="67"/>
        <v>1530000</v>
      </c>
      <c r="T308" s="82">
        <f t="shared" si="58"/>
        <v>0</v>
      </c>
      <c r="U308" s="82">
        <f t="shared" si="68"/>
        <v>1530000</v>
      </c>
    </row>
    <row r="309" spans="1:21" s="42" customFormat="1" ht="20.25" customHeight="1">
      <c r="A309" s="118">
        <v>163</v>
      </c>
      <c r="B309" s="126" t="s">
        <v>46</v>
      </c>
      <c r="C309" s="339" t="s">
        <v>1488</v>
      </c>
      <c r="D309" s="155" t="s">
        <v>1488</v>
      </c>
      <c r="E309" s="102" t="s">
        <v>439</v>
      </c>
      <c r="F309" s="80" t="s">
        <v>1138</v>
      </c>
      <c r="G309" s="103">
        <v>21</v>
      </c>
      <c r="H309" s="126">
        <v>2000</v>
      </c>
      <c r="I309" s="126">
        <v>3</v>
      </c>
      <c r="J309" s="127" t="s">
        <v>21</v>
      </c>
      <c r="K309" s="128">
        <v>1</v>
      </c>
      <c r="L309" s="126"/>
      <c r="M309" s="424">
        <f t="shared" si="69"/>
        <v>2100</v>
      </c>
      <c r="N309" s="424">
        <f t="shared" si="70"/>
        <v>2205</v>
      </c>
      <c r="O309" s="424">
        <f t="shared" si="71"/>
        <v>101430</v>
      </c>
      <c r="P309" s="82">
        <v>1</v>
      </c>
      <c r="Q309" s="82">
        <v>1</v>
      </c>
      <c r="R309" s="82">
        <f t="shared" si="61"/>
        <v>1530000</v>
      </c>
      <c r="S309" s="82">
        <f>R309*Q309*P309*K309</f>
        <v>1530000</v>
      </c>
      <c r="T309" s="82">
        <f>L309*P309*Q309*R309</f>
        <v>0</v>
      </c>
      <c r="U309" s="82">
        <f>S309+T309</f>
        <v>1530000</v>
      </c>
    </row>
    <row r="310" spans="1:21" s="46" customFormat="1" ht="25.5" customHeight="1" thickBot="1">
      <c r="A310" s="118">
        <v>164</v>
      </c>
      <c r="B310" s="126" t="s">
        <v>46</v>
      </c>
      <c r="C310" s="339" t="s">
        <v>1512</v>
      </c>
      <c r="D310" s="265" t="s">
        <v>1513</v>
      </c>
      <c r="E310" s="102" t="s">
        <v>374</v>
      </c>
      <c r="F310" s="80" t="s">
        <v>1489</v>
      </c>
      <c r="G310" s="103">
        <v>20</v>
      </c>
      <c r="H310" s="126">
        <v>2500</v>
      </c>
      <c r="I310" s="126">
        <v>3</v>
      </c>
      <c r="J310" s="127" t="s">
        <v>40</v>
      </c>
      <c r="K310" s="128">
        <v>1</v>
      </c>
      <c r="L310" s="126"/>
      <c r="M310" s="424">
        <f t="shared" si="69"/>
        <v>2500</v>
      </c>
      <c r="N310" s="424">
        <f t="shared" si="70"/>
        <v>2625</v>
      </c>
      <c r="O310" s="424">
        <f t="shared" si="71"/>
        <v>120750</v>
      </c>
      <c r="P310" s="82">
        <v>1</v>
      </c>
      <c r="Q310" s="82">
        <v>1</v>
      </c>
      <c r="R310" s="82">
        <f t="shared" si="61"/>
        <v>1530000</v>
      </c>
      <c r="S310" s="82">
        <f>R310*Q310*P310*K310</f>
        <v>1530000</v>
      </c>
      <c r="T310" s="82">
        <f>L310*P310*Q310*R310</f>
        <v>0</v>
      </c>
      <c r="U310" s="82">
        <f>S310+T310</f>
        <v>1530000</v>
      </c>
    </row>
    <row r="311" spans="1:21" s="42" customFormat="1" ht="22.5" customHeight="1">
      <c r="A311" s="367" t="s">
        <v>741</v>
      </c>
      <c r="B311" s="368"/>
      <c r="C311" s="369"/>
      <c r="D311" s="369"/>
      <c r="E311" s="368"/>
      <c r="F311" s="368"/>
      <c r="G311" s="370"/>
      <c r="H311" s="368"/>
      <c r="I311" s="368"/>
      <c r="J311" s="371"/>
      <c r="K311" s="372"/>
      <c r="L311" s="372"/>
      <c r="M311" s="368"/>
      <c r="N311" s="368"/>
      <c r="O311" s="368"/>
      <c r="P311" s="368">
        <f>SUM(P147:P310)</f>
        <v>164</v>
      </c>
      <c r="Q311" s="368"/>
      <c r="R311" s="368"/>
      <c r="S311" s="368"/>
      <c r="T311" s="368"/>
      <c r="U311" s="373"/>
    </row>
    <row r="312" spans="1:21" s="42" customFormat="1" ht="20.25" customHeight="1">
      <c r="A312" s="118">
        <v>1</v>
      </c>
      <c r="B312" s="80" t="s">
        <v>100</v>
      </c>
      <c r="C312" s="344" t="s">
        <v>937</v>
      </c>
      <c r="D312" s="261" t="s">
        <v>576</v>
      </c>
      <c r="E312" s="80" t="s">
        <v>374</v>
      </c>
      <c r="F312" s="80" t="s">
        <v>1138</v>
      </c>
      <c r="G312" s="66">
        <v>8</v>
      </c>
      <c r="H312" s="82">
        <v>280</v>
      </c>
      <c r="I312" s="82">
        <v>1</v>
      </c>
      <c r="J312" s="84" t="s">
        <v>62</v>
      </c>
      <c r="K312" s="86">
        <v>1</v>
      </c>
      <c r="L312" s="82">
        <v>0</v>
      </c>
      <c r="M312" s="82">
        <f>(2*H312/5)+(6*H312*5/100)</f>
        <v>196</v>
      </c>
      <c r="N312" s="82">
        <f>(2*H312/5*0.15*5.5)+(6*H312*5/100*0.15*7)</f>
        <v>180.60000000000002</v>
      </c>
      <c r="O312" s="82">
        <f>((H312*2/5*6.6*5.5)+(H312*2/5*5.5*0.15*2))+((H312*6*5/100*6.6*7)+(H312*6*5/100*0.15*7*2))</f>
        <v>8307.599999999999</v>
      </c>
      <c r="P312" s="82">
        <v>1</v>
      </c>
      <c r="Q312" s="82">
        <v>1</v>
      </c>
      <c r="R312" s="82">
        <f>45*$R$2</f>
        <v>1012500</v>
      </c>
      <c r="S312" s="82">
        <f aca="true" t="shared" si="72" ref="S312:S375">R312*Q312*P312*K312</f>
        <v>1012500</v>
      </c>
      <c r="T312" s="82">
        <f>L312*P312*Q312*R312</f>
        <v>0</v>
      </c>
      <c r="U312" s="82">
        <f t="shared" si="62"/>
        <v>1012500</v>
      </c>
    </row>
    <row r="313" spans="1:22" s="47" customFormat="1" ht="20.25" customHeight="1">
      <c r="A313" s="118">
        <v>2</v>
      </c>
      <c r="B313" s="80" t="s">
        <v>17</v>
      </c>
      <c r="C313" s="344" t="s">
        <v>577</v>
      </c>
      <c r="D313" s="261" t="s">
        <v>578</v>
      </c>
      <c r="E313" s="80" t="s">
        <v>396</v>
      </c>
      <c r="F313" s="80" t="s">
        <v>1184</v>
      </c>
      <c r="G313" s="66">
        <v>8</v>
      </c>
      <c r="H313" s="82">
        <v>500</v>
      </c>
      <c r="I313" s="82">
        <v>2</v>
      </c>
      <c r="J313" s="84" t="s">
        <v>62</v>
      </c>
      <c r="K313" s="86">
        <v>1</v>
      </c>
      <c r="L313" s="82">
        <v>0</v>
      </c>
      <c r="M313" s="82">
        <f>G313*H313/5</f>
        <v>800</v>
      </c>
      <c r="N313" s="82">
        <f>M313*0.15*5.5</f>
        <v>660</v>
      </c>
      <c r="O313" s="82">
        <f>M313*6.6*5.5+N313*2</f>
        <v>30360</v>
      </c>
      <c r="P313" s="82">
        <v>1</v>
      </c>
      <c r="Q313" s="82">
        <v>1</v>
      </c>
      <c r="R313" s="82">
        <f aca="true" t="shared" si="73" ref="R313:R376">45*$R$2</f>
        <v>1012500</v>
      </c>
      <c r="S313" s="82">
        <f t="shared" si="72"/>
        <v>1012500</v>
      </c>
      <c r="T313" s="82">
        <f aca="true" t="shared" si="74" ref="T313:T376">L313*P313*Q313*R313</f>
        <v>0</v>
      </c>
      <c r="U313" s="82">
        <f t="shared" si="62"/>
        <v>1012500</v>
      </c>
      <c r="V313" s="42"/>
    </row>
    <row r="314" spans="1:21" s="47" customFormat="1" ht="20.25" customHeight="1">
      <c r="A314" s="118">
        <v>3</v>
      </c>
      <c r="B314" s="80" t="s">
        <v>100</v>
      </c>
      <c r="C314" s="344" t="s">
        <v>846</v>
      </c>
      <c r="D314" s="261" t="s">
        <v>669</v>
      </c>
      <c r="E314" s="80" t="s">
        <v>378</v>
      </c>
      <c r="F314" s="80" t="s">
        <v>1138</v>
      </c>
      <c r="G314" s="66">
        <v>14</v>
      </c>
      <c r="H314" s="83">
        <v>800</v>
      </c>
      <c r="I314" s="82">
        <v>2</v>
      </c>
      <c r="J314" s="84" t="s">
        <v>993</v>
      </c>
      <c r="K314" s="86">
        <v>0</v>
      </c>
      <c r="L314" s="82">
        <v>1</v>
      </c>
      <c r="M314" s="82">
        <f>(4*H314/5)+(10*H314*5/100)</f>
        <v>1040</v>
      </c>
      <c r="N314" s="82">
        <f>(4*H314/5*0.15*5.5)+(10*H314*5/100*0.15*7)</f>
        <v>948</v>
      </c>
      <c r="O314" s="82">
        <f>((H314*4/5*6.6*5.5)+(H314*4/5*5.5*0.15*2))+((H314*10*5/100*6.6*7)+(H314*10*5/100*0.15*7*2))</f>
        <v>43608</v>
      </c>
      <c r="P314" s="82">
        <v>1</v>
      </c>
      <c r="Q314" s="82">
        <v>1</v>
      </c>
      <c r="R314" s="82">
        <f t="shared" si="73"/>
        <v>1012500</v>
      </c>
      <c r="S314" s="82">
        <f t="shared" si="72"/>
        <v>0</v>
      </c>
      <c r="T314" s="82">
        <f t="shared" si="74"/>
        <v>1012500</v>
      </c>
      <c r="U314" s="82">
        <f t="shared" si="62"/>
        <v>1012500</v>
      </c>
    </row>
    <row r="315" spans="1:21" s="42" customFormat="1" ht="20.25" customHeight="1">
      <c r="A315" s="118">
        <v>4</v>
      </c>
      <c r="B315" s="80" t="s">
        <v>46</v>
      </c>
      <c r="C315" s="344" t="s">
        <v>579</v>
      </c>
      <c r="D315" s="261" t="s">
        <v>580</v>
      </c>
      <c r="E315" s="80" t="s">
        <v>374</v>
      </c>
      <c r="F315" s="80" t="s">
        <v>1138</v>
      </c>
      <c r="G315" s="66">
        <v>17</v>
      </c>
      <c r="H315" s="82">
        <v>1000</v>
      </c>
      <c r="I315" s="82">
        <v>2</v>
      </c>
      <c r="J315" s="84" t="s">
        <v>993</v>
      </c>
      <c r="K315" s="86">
        <v>0</v>
      </c>
      <c r="L315" s="82">
        <v>1</v>
      </c>
      <c r="M315" s="82">
        <f>G315*H315*5/100</f>
        <v>850</v>
      </c>
      <c r="N315" s="82">
        <f>M315*0.15*7</f>
        <v>892.5</v>
      </c>
      <c r="O315" s="82">
        <f>M315*6.6*7+N315*2</f>
        <v>41055</v>
      </c>
      <c r="P315" s="82">
        <v>1</v>
      </c>
      <c r="Q315" s="82">
        <v>1</v>
      </c>
      <c r="R315" s="82">
        <f t="shared" si="73"/>
        <v>1012500</v>
      </c>
      <c r="S315" s="82">
        <f t="shared" si="72"/>
        <v>0</v>
      </c>
      <c r="T315" s="82">
        <f t="shared" si="74"/>
        <v>1012500</v>
      </c>
      <c r="U315" s="82">
        <f t="shared" si="62"/>
        <v>1012500</v>
      </c>
    </row>
    <row r="316" spans="1:22" s="47" customFormat="1" ht="20.25" customHeight="1">
      <c r="A316" s="118">
        <v>5</v>
      </c>
      <c r="B316" s="80" t="s">
        <v>17</v>
      </c>
      <c r="C316" s="344" t="s">
        <v>581</v>
      </c>
      <c r="D316" s="261" t="s">
        <v>582</v>
      </c>
      <c r="E316" s="80" t="s">
        <v>378</v>
      </c>
      <c r="F316" s="81" t="s">
        <v>1112</v>
      </c>
      <c r="G316" s="66">
        <v>7</v>
      </c>
      <c r="H316" s="82">
        <v>450</v>
      </c>
      <c r="I316" s="82">
        <v>1</v>
      </c>
      <c r="J316" s="84" t="s">
        <v>62</v>
      </c>
      <c r="K316" s="86">
        <v>1</v>
      </c>
      <c r="L316" s="82">
        <v>0</v>
      </c>
      <c r="M316" s="82">
        <f>G316*H316/5</f>
        <v>630</v>
      </c>
      <c r="N316" s="82">
        <f>M316*0.15*5.5</f>
        <v>519.75</v>
      </c>
      <c r="O316" s="82">
        <f>M316*6.6*5.5+N316*2</f>
        <v>23908.5</v>
      </c>
      <c r="P316" s="82">
        <v>1</v>
      </c>
      <c r="Q316" s="82">
        <v>1</v>
      </c>
      <c r="R316" s="82">
        <f t="shared" si="73"/>
        <v>1012500</v>
      </c>
      <c r="S316" s="82">
        <f t="shared" si="72"/>
        <v>1012500</v>
      </c>
      <c r="T316" s="82">
        <f t="shared" si="74"/>
        <v>0</v>
      </c>
      <c r="U316" s="82">
        <f t="shared" si="62"/>
        <v>1012500</v>
      </c>
      <c r="V316" s="42"/>
    </row>
    <row r="317" spans="1:21" s="47" customFormat="1" ht="20.25" customHeight="1">
      <c r="A317" s="118">
        <v>6</v>
      </c>
      <c r="B317" s="80" t="s">
        <v>46</v>
      </c>
      <c r="C317" s="344" t="s">
        <v>817</v>
      </c>
      <c r="D317" s="261" t="s">
        <v>599</v>
      </c>
      <c r="E317" s="80" t="s">
        <v>439</v>
      </c>
      <c r="F317" s="80" t="s">
        <v>1138</v>
      </c>
      <c r="G317" s="66">
        <v>10</v>
      </c>
      <c r="H317" s="82">
        <v>700</v>
      </c>
      <c r="I317" s="82">
        <v>2</v>
      </c>
      <c r="J317" s="84" t="s">
        <v>993</v>
      </c>
      <c r="K317" s="86">
        <v>0</v>
      </c>
      <c r="L317" s="82">
        <v>1</v>
      </c>
      <c r="M317" s="82">
        <f aca="true" t="shared" si="75" ref="M317:M334">G317*H317*5/100</f>
        <v>350</v>
      </c>
      <c r="N317" s="82">
        <f>M317*0.15*7</f>
        <v>367.5</v>
      </c>
      <c r="O317" s="82">
        <f aca="true" t="shared" si="76" ref="O317:O334">M317*6.6*7+N317*2</f>
        <v>16905</v>
      </c>
      <c r="P317" s="82">
        <v>1</v>
      </c>
      <c r="Q317" s="82">
        <v>1</v>
      </c>
      <c r="R317" s="82">
        <f t="shared" si="73"/>
        <v>1012500</v>
      </c>
      <c r="S317" s="82">
        <f t="shared" si="72"/>
        <v>0</v>
      </c>
      <c r="T317" s="82">
        <f t="shared" si="74"/>
        <v>1012500</v>
      </c>
      <c r="U317" s="82">
        <f t="shared" si="62"/>
        <v>1012500</v>
      </c>
    </row>
    <row r="318" spans="1:21" s="47" customFormat="1" ht="20.25" customHeight="1">
      <c r="A318" s="118">
        <v>7</v>
      </c>
      <c r="B318" s="80" t="s">
        <v>46</v>
      </c>
      <c r="C318" s="344" t="s">
        <v>923</v>
      </c>
      <c r="D318" s="261" t="s">
        <v>599</v>
      </c>
      <c r="E318" s="80" t="s">
        <v>439</v>
      </c>
      <c r="F318" s="80" t="s">
        <v>1138</v>
      </c>
      <c r="G318" s="66">
        <v>10</v>
      </c>
      <c r="H318" s="82">
        <v>700</v>
      </c>
      <c r="I318" s="82">
        <v>2</v>
      </c>
      <c r="J318" s="84" t="s">
        <v>993</v>
      </c>
      <c r="K318" s="86">
        <v>0</v>
      </c>
      <c r="L318" s="82">
        <v>1</v>
      </c>
      <c r="M318" s="82">
        <f t="shared" si="75"/>
        <v>350</v>
      </c>
      <c r="N318" s="82">
        <f>M318*0.15*7</f>
        <v>367.5</v>
      </c>
      <c r="O318" s="82">
        <f t="shared" si="76"/>
        <v>16905</v>
      </c>
      <c r="P318" s="82">
        <v>1</v>
      </c>
      <c r="Q318" s="82">
        <v>1</v>
      </c>
      <c r="R318" s="82">
        <f t="shared" si="73"/>
        <v>1012500</v>
      </c>
      <c r="S318" s="82">
        <f t="shared" si="72"/>
        <v>0</v>
      </c>
      <c r="T318" s="82">
        <f t="shared" si="74"/>
        <v>1012500</v>
      </c>
      <c r="U318" s="82">
        <f t="shared" si="62"/>
        <v>1012500</v>
      </c>
    </row>
    <row r="319" spans="1:21" s="47" customFormat="1" ht="20.25" customHeight="1">
      <c r="A319" s="118">
        <v>8</v>
      </c>
      <c r="B319" s="80" t="s">
        <v>46</v>
      </c>
      <c r="C319" s="344" t="s">
        <v>924</v>
      </c>
      <c r="D319" s="261" t="s">
        <v>599</v>
      </c>
      <c r="E319" s="80" t="s">
        <v>439</v>
      </c>
      <c r="F319" s="80" t="s">
        <v>1138</v>
      </c>
      <c r="G319" s="66">
        <v>10</v>
      </c>
      <c r="H319" s="82">
        <v>700</v>
      </c>
      <c r="I319" s="82">
        <v>2</v>
      </c>
      <c r="J319" s="84" t="s">
        <v>993</v>
      </c>
      <c r="K319" s="86">
        <v>0</v>
      </c>
      <c r="L319" s="82">
        <v>1</v>
      </c>
      <c r="M319" s="82">
        <f t="shared" si="75"/>
        <v>350</v>
      </c>
      <c r="N319" s="82">
        <f>M319*0.15*7</f>
        <v>367.5</v>
      </c>
      <c r="O319" s="82">
        <f t="shared" si="76"/>
        <v>16905</v>
      </c>
      <c r="P319" s="82">
        <v>1</v>
      </c>
      <c r="Q319" s="82">
        <v>1</v>
      </c>
      <c r="R319" s="82">
        <f t="shared" si="73"/>
        <v>1012500</v>
      </c>
      <c r="S319" s="82">
        <f t="shared" si="72"/>
        <v>0</v>
      </c>
      <c r="T319" s="82">
        <f t="shared" si="74"/>
        <v>1012500</v>
      </c>
      <c r="U319" s="82">
        <f t="shared" si="62"/>
        <v>1012500</v>
      </c>
    </row>
    <row r="320" spans="1:21" s="47" customFormat="1" ht="20.25" customHeight="1">
      <c r="A320" s="118">
        <v>9</v>
      </c>
      <c r="B320" s="80" t="s">
        <v>46</v>
      </c>
      <c r="C320" s="344" t="s">
        <v>925</v>
      </c>
      <c r="D320" s="261" t="s">
        <v>599</v>
      </c>
      <c r="E320" s="80" t="s">
        <v>439</v>
      </c>
      <c r="F320" s="80" t="s">
        <v>1138</v>
      </c>
      <c r="G320" s="66">
        <v>10</v>
      </c>
      <c r="H320" s="82">
        <v>700</v>
      </c>
      <c r="I320" s="82">
        <v>2</v>
      </c>
      <c r="J320" s="84" t="s">
        <v>993</v>
      </c>
      <c r="K320" s="86">
        <v>0</v>
      </c>
      <c r="L320" s="82">
        <v>1</v>
      </c>
      <c r="M320" s="82">
        <f t="shared" si="75"/>
        <v>350</v>
      </c>
      <c r="N320" s="82">
        <f>M320*0.15*7</f>
        <v>367.5</v>
      </c>
      <c r="O320" s="82">
        <f t="shared" si="76"/>
        <v>16905</v>
      </c>
      <c r="P320" s="82">
        <v>1</v>
      </c>
      <c r="Q320" s="82">
        <v>1</v>
      </c>
      <c r="R320" s="82">
        <f t="shared" si="73"/>
        <v>1012500</v>
      </c>
      <c r="S320" s="82">
        <f t="shared" si="72"/>
        <v>0</v>
      </c>
      <c r="T320" s="82">
        <f t="shared" si="74"/>
        <v>1012500</v>
      </c>
      <c r="U320" s="82">
        <f t="shared" si="62"/>
        <v>1012500</v>
      </c>
    </row>
    <row r="321" spans="1:21" s="47" customFormat="1" ht="26.25" customHeight="1">
      <c r="A321" s="118">
        <v>10</v>
      </c>
      <c r="B321" s="80" t="s">
        <v>46</v>
      </c>
      <c r="C321" s="344" t="s">
        <v>820</v>
      </c>
      <c r="D321" s="261" t="s">
        <v>599</v>
      </c>
      <c r="E321" s="80" t="s">
        <v>439</v>
      </c>
      <c r="F321" s="80" t="s">
        <v>1138</v>
      </c>
      <c r="G321" s="66">
        <v>11</v>
      </c>
      <c r="H321" s="82">
        <v>800</v>
      </c>
      <c r="I321" s="82">
        <v>2</v>
      </c>
      <c r="J321" s="84" t="s">
        <v>993</v>
      </c>
      <c r="K321" s="86">
        <v>0</v>
      </c>
      <c r="L321" s="82">
        <v>1</v>
      </c>
      <c r="M321" s="82">
        <f t="shared" si="75"/>
        <v>440</v>
      </c>
      <c r="N321" s="82">
        <f aca="true" t="shared" si="77" ref="N321:N334">M321*0.15*7</f>
        <v>462</v>
      </c>
      <c r="O321" s="82">
        <f t="shared" si="76"/>
        <v>21252</v>
      </c>
      <c r="P321" s="82">
        <v>1</v>
      </c>
      <c r="Q321" s="82">
        <v>1</v>
      </c>
      <c r="R321" s="82">
        <f t="shared" si="73"/>
        <v>1012500</v>
      </c>
      <c r="S321" s="82">
        <f t="shared" si="72"/>
        <v>0</v>
      </c>
      <c r="T321" s="82">
        <f t="shared" si="74"/>
        <v>1012500</v>
      </c>
      <c r="U321" s="82">
        <f t="shared" si="62"/>
        <v>1012500</v>
      </c>
    </row>
    <row r="322" spans="1:21" s="47" customFormat="1" ht="26.25" customHeight="1">
      <c r="A322" s="118">
        <v>11</v>
      </c>
      <c r="B322" s="80" t="s">
        <v>46</v>
      </c>
      <c r="C322" s="344" t="s">
        <v>822</v>
      </c>
      <c r="D322" s="261" t="s">
        <v>599</v>
      </c>
      <c r="E322" s="80" t="s">
        <v>439</v>
      </c>
      <c r="F322" s="80" t="s">
        <v>1138</v>
      </c>
      <c r="G322" s="66">
        <v>11</v>
      </c>
      <c r="H322" s="82">
        <v>800</v>
      </c>
      <c r="I322" s="82">
        <v>2</v>
      </c>
      <c r="J322" s="84" t="s">
        <v>993</v>
      </c>
      <c r="K322" s="86">
        <v>0</v>
      </c>
      <c r="L322" s="82">
        <v>1</v>
      </c>
      <c r="M322" s="82">
        <f t="shared" si="75"/>
        <v>440</v>
      </c>
      <c r="N322" s="82">
        <f t="shared" si="77"/>
        <v>462</v>
      </c>
      <c r="O322" s="82">
        <f t="shared" si="76"/>
        <v>21252</v>
      </c>
      <c r="P322" s="82">
        <v>1</v>
      </c>
      <c r="Q322" s="82">
        <v>1</v>
      </c>
      <c r="R322" s="82">
        <f t="shared" si="73"/>
        <v>1012500</v>
      </c>
      <c r="S322" s="82">
        <f t="shared" si="72"/>
        <v>0</v>
      </c>
      <c r="T322" s="82">
        <f t="shared" si="74"/>
        <v>1012500</v>
      </c>
      <c r="U322" s="82">
        <f t="shared" si="62"/>
        <v>1012500</v>
      </c>
    </row>
    <row r="323" spans="1:21" s="47" customFormat="1" ht="24.75" customHeight="1">
      <c r="A323" s="118">
        <v>12</v>
      </c>
      <c r="B323" s="80" t="s">
        <v>46</v>
      </c>
      <c r="C323" s="344" t="s">
        <v>826</v>
      </c>
      <c r="D323" s="261" t="s">
        <v>599</v>
      </c>
      <c r="E323" s="80" t="s">
        <v>439</v>
      </c>
      <c r="F323" s="80" t="s">
        <v>1138</v>
      </c>
      <c r="G323" s="66">
        <v>11</v>
      </c>
      <c r="H323" s="82">
        <v>800</v>
      </c>
      <c r="I323" s="82">
        <v>2</v>
      </c>
      <c r="J323" s="84" t="s">
        <v>993</v>
      </c>
      <c r="K323" s="86">
        <v>0</v>
      </c>
      <c r="L323" s="82">
        <v>1</v>
      </c>
      <c r="M323" s="82">
        <f t="shared" si="75"/>
        <v>440</v>
      </c>
      <c r="N323" s="82">
        <f t="shared" si="77"/>
        <v>462</v>
      </c>
      <c r="O323" s="82">
        <f t="shared" si="76"/>
        <v>21252</v>
      </c>
      <c r="P323" s="82">
        <v>1</v>
      </c>
      <c r="Q323" s="82">
        <v>1</v>
      </c>
      <c r="R323" s="82">
        <f t="shared" si="73"/>
        <v>1012500</v>
      </c>
      <c r="S323" s="82">
        <f t="shared" si="72"/>
        <v>0</v>
      </c>
      <c r="T323" s="82">
        <f t="shared" si="74"/>
        <v>1012500</v>
      </c>
      <c r="U323" s="82">
        <f t="shared" si="62"/>
        <v>1012500</v>
      </c>
    </row>
    <row r="324" spans="1:21" s="47" customFormat="1" ht="27" customHeight="1">
      <c r="A324" s="118">
        <v>13</v>
      </c>
      <c r="B324" s="80" t="s">
        <v>46</v>
      </c>
      <c r="C324" s="344" t="s">
        <v>828</v>
      </c>
      <c r="D324" s="261" t="s">
        <v>599</v>
      </c>
      <c r="E324" s="80" t="s">
        <v>439</v>
      </c>
      <c r="F324" s="80" t="s">
        <v>1138</v>
      </c>
      <c r="G324" s="66">
        <v>11</v>
      </c>
      <c r="H324" s="82">
        <v>800</v>
      </c>
      <c r="I324" s="82">
        <v>2</v>
      </c>
      <c r="J324" s="84" t="s">
        <v>993</v>
      </c>
      <c r="K324" s="86">
        <v>0</v>
      </c>
      <c r="L324" s="82">
        <v>1</v>
      </c>
      <c r="M324" s="82">
        <f t="shared" si="75"/>
        <v>440</v>
      </c>
      <c r="N324" s="82">
        <f t="shared" si="77"/>
        <v>462</v>
      </c>
      <c r="O324" s="82">
        <f t="shared" si="76"/>
        <v>21252</v>
      </c>
      <c r="P324" s="82">
        <v>1</v>
      </c>
      <c r="Q324" s="82">
        <v>1</v>
      </c>
      <c r="R324" s="82">
        <f t="shared" si="73"/>
        <v>1012500</v>
      </c>
      <c r="S324" s="82">
        <f t="shared" si="72"/>
        <v>0</v>
      </c>
      <c r="T324" s="82">
        <f t="shared" si="74"/>
        <v>1012500</v>
      </c>
      <c r="U324" s="82">
        <f t="shared" si="62"/>
        <v>1012500</v>
      </c>
    </row>
    <row r="325" spans="1:21" s="47" customFormat="1" ht="20.25" customHeight="1">
      <c r="A325" s="118">
        <v>14</v>
      </c>
      <c r="B325" s="80" t="s">
        <v>46</v>
      </c>
      <c r="C325" s="344" t="s">
        <v>830</v>
      </c>
      <c r="D325" s="261" t="s">
        <v>599</v>
      </c>
      <c r="E325" s="80" t="s">
        <v>439</v>
      </c>
      <c r="F325" s="80" t="s">
        <v>1138</v>
      </c>
      <c r="G325" s="66">
        <v>10</v>
      </c>
      <c r="H325" s="82">
        <v>700</v>
      </c>
      <c r="I325" s="82">
        <v>2</v>
      </c>
      <c r="J325" s="84" t="s">
        <v>991</v>
      </c>
      <c r="K325" s="86">
        <v>0</v>
      </c>
      <c r="L325" s="82">
        <v>1</v>
      </c>
      <c r="M325" s="82">
        <f t="shared" si="75"/>
        <v>350</v>
      </c>
      <c r="N325" s="82">
        <f t="shared" si="77"/>
        <v>367.5</v>
      </c>
      <c r="O325" s="82">
        <f t="shared" si="76"/>
        <v>16905</v>
      </c>
      <c r="P325" s="82">
        <v>1</v>
      </c>
      <c r="Q325" s="82">
        <v>1</v>
      </c>
      <c r="R325" s="82">
        <f t="shared" si="73"/>
        <v>1012500</v>
      </c>
      <c r="S325" s="82">
        <f t="shared" si="72"/>
        <v>0</v>
      </c>
      <c r="T325" s="82">
        <f t="shared" si="74"/>
        <v>1012500</v>
      </c>
      <c r="U325" s="82">
        <f t="shared" si="62"/>
        <v>1012500</v>
      </c>
    </row>
    <row r="326" spans="1:21" s="47" customFormat="1" ht="26.25" customHeight="1">
      <c r="A326" s="118">
        <v>15</v>
      </c>
      <c r="B326" s="80" t="s">
        <v>46</v>
      </c>
      <c r="C326" s="344" t="s">
        <v>829</v>
      </c>
      <c r="D326" s="261" t="s">
        <v>599</v>
      </c>
      <c r="E326" s="80" t="s">
        <v>439</v>
      </c>
      <c r="F326" s="80" t="s">
        <v>1138</v>
      </c>
      <c r="G326" s="66">
        <v>10</v>
      </c>
      <c r="H326" s="82">
        <v>700</v>
      </c>
      <c r="I326" s="82">
        <v>2</v>
      </c>
      <c r="J326" s="84" t="s">
        <v>993</v>
      </c>
      <c r="K326" s="86">
        <v>0</v>
      </c>
      <c r="L326" s="82">
        <v>1</v>
      </c>
      <c r="M326" s="82">
        <f t="shared" si="75"/>
        <v>350</v>
      </c>
      <c r="N326" s="82">
        <f t="shared" si="77"/>
        <v>367.5</v>
      </c>
      <c r="O326" s="82">
        <f t="shared" si="76"/>
        <v>16905</v>
      </c>
      <c r="P326" s="82">
        <v>1</v>
      </c>
      <c r="Q326" s="82">
        <v>1</v>
      </c>
      <c r="R326" s="82">
        <f t="shared" si="73"/>
        <v>1012500</v>
      </c>
      <c r="S326" s="82">
        <f t="shared" si="72"/>
        <v>0</v>
      </c>
      <c r="T326" s="82">
        <f t="shared" si="74"/>
        <v>1012500</v>
      </c>
      <c r="U326" s="82">
        <f t="shared" si="62"/>
        <v>1012500</v>
      </c>
    </row>
    <row r="327" spans="1:21" s="47" customFormat="1" ht="23.25" customHeight="1">
      <c r="A327" s="118">
        <v>16</v>
      </c>
      <c r="B327" s="80" t="s">
        <v>46</v>
      </c>
      <c r="C327" s="344" t="s">
        <v>831</v>
      </c>
      <c r="D327" s="261" t="s">
        <v>599</v>
      </c>
      <c r="E327" s="80" t="s">
        <v>439</v>
      </c>
      <c r="F327" s="80" t="s">
        <v>1138</v>
      </c>
      <c r="G327" s="66">
        <v>11</v>
      </c>
      <c r="H327" s="82">
        <v>800</v>
      </c>
      <c r="I327" s="82">
        <v>2</v>
      </c>
      <c r="J327" s="84" t="s">
        <v>993</v>
      </c>
      <c r="K327" s="86">
        <v>0</v>
      </c>
      <c r="L327" s="82">
        <v>1</v>
      </c>
      <c r="M327" s="82">
        <f t="shared" si="75"/>
        <v>440</v>
      </c>
      <c r="N327" s="82">
        <f t="shared" si="77"/>
        <v>462</v>
      </c>
      <c r="O327" s="82">
        <f t="shared" si="76"/>
        <v>21252</v>
      </c>
      <c r="P327" s="82">
        <v>1</v>
      </c>
      <c r="Q327" s="82">
        <v>1</v>
      </c>
      <c r="R327" s="82">
        <f t="shared" si="73"/>
        <v>1012500</v>
      </c>
      <c r="S327" s="82">
        <f t="shared" si="72"/>
        <v>0</v>
      </c>
      <c r="T327" s="82">
        <f t="shared" si="74"/>
        <v>1012500</v>
      </c>
      <c r="U327" s="82">
        <f t="shared" si="62"/>
        <v>1012500</v>
      </c>
    </row>
    <row r="328" spans="1:21" s="47" customFormat="1" ht="20.25" customHeight="1">
      <c r="A328" s="118">
        <v>17</v>
      </c>
      <c r="B328" s="80" t="s">
        <v>46</v>
      </c>
      <c r="C328" s="344" t="s">
        <v>912</v>
      </c>
      <c r="D328" s="261" t="s">
        <v>599</v>
      </c>
      <c r="E328" s="80" t="s">
        <v>439</v>
      </c>
      <c r="F328" s="80" t="s">
        <v>1138</v>
      </c>
      <c r="G328" s="66">
        <v>11</v>
      </c>
      <c r="H328" s="82">
        <v>800</v>
      </c>
      <c r="I328" s="82">
        <v>2</v>
      </c>
      <c r="J328" s="84" t="s">
        <v>993</v>
      </c>
      <c r="K328" s="86">
        <v>0</v>
      </c>
      <c r="L328" s="82">
        <v>1</v>
      </c>
      <c r="M328" s="82">
        <f t="shared" si="75"/>
        <v>440</v>
      </c>
      <c r="N328" s="82">
        <f>M328*0.15*7</f>
        <v>462</v>
      </c>
      <c r="O328" s="82">
        <f>M328*6.6*7+N328*2</f>
        <v>21252</v>
      </c>
      <c r="P328" s="82">
        <v>1</v>
      </c>
      <c r="Q328" s="82">
        <v>1</v>
      </c>
      <c r="R328" s="82">
        <f t="shared" si="73"/>
        <v>1012500</v>
      </c>
      <c r="S328" s="82">
        <f t="shared" si="72"/>
        <v>0</v>
      </c>
      <c r="T328" s="82">
        <f t="shared" si="74"/>
        <v>1012500</v>
      </c>
      <c r="U328" s="82">
        <f t="shared" si="62"/>
        <v>1012500</v>
      </c>
    </row>
    <row r="329" spans="1:21" s="47" customFormat="1" ht="26.25" customHeight="1">
      <c r="A329" s="118">
        <v>18</v>
      </c>
      <c r="B329" s="80" t="s">
        <v>46</v>
      </c>
      <c r="C329" s="344" t="s">
        <v>840</v>
      </c>
      <c r="D329" s="261" t="s">
        <v>599</v>
      </c>
      <c r="E329" s="80" t="s">
        <v>439</v>
      </c>
      <c r="F329" s="80" t="s">
        <v>1138</v>
      </c>
      <c r="G329" s="66">
        <v>10</v>
      </c>
      <c r="H329" s="82">
        <v>800</v>
      </c>
      <c r="I329" s="82">
        <v>2</v>
      </c>
      <c r="J329" s="84" t="s">
        <v>993</v>
      </c>
      <c r="K329" s="86">
        <v>0</v>
      </c>
      <c r="L329" s="82">
        <v>1</v>
      </c>
      <c r="M329" s="82">
        <f t="shared" si="75"/>
        <v>400</v>
      </c>
      <c r="N329" s="82">
        <f t="shared" si="77"/>
        <v>420</v>
      </c>
      <c r="O329" s="82">
        <f t="shared" si="76"/>
        <v>19320</v>
      </c>
      <c r="P329" s="82">
        <v>1</v>
      </c>
      <c r="Q329" s="82">
        <v>1</v>
      </c>
      <c r="R329" s="82">
        <f t="shared" si="73"/>
        <v>1012500</v>
      </c>
      <c r="S329" s="82">
        <f t="shared" si="72"/>
        <v>0</v>
      </c>
      <c r="T329" s="82">
        <f t="shared" si="74"/>
        <v>1012500</v>
      </c>
      <c r="U329" s="82">
        <f t="shared" si="62"/>
        <v>1012500</v>
      </c>
    </row>
    <row r="330" spans="1:21" s="47" customFormat="1" ht="30.75" customHeight="1">
      <c r="A330" s="118">
        <v>19</v>
      </c>
      <c r="B330" s="80" t="s">
        <v>46</v>
      </c>
      <c r="C330" s="344" t="s">
        <v>841</v>
      </c>
      <c r="D330" s="261" t="s">
        <v>599</v>
      </c>
      <c r="E330" s="80" t="s">
        <v>439</v>
      </c>
      <c r="F330" s="80" t="s">
        <v>1138</v>
      </c>
      <c r="G330" s="66">
        <v>10</v>
      </c>
      <c r="H330" s="82">
        <v>800</v>
      </c>
      <c r="I330" s="82">
        <v>2</v>
      </c>
      <c r="J330" s="84" t="s">
        <v>993</v>
      </c>
      <c r="K330" s="86">
        <v>0</v>
      </c>
      <c r="L330" s="82">
        <v>1</v>
      </c>
      <c r="M330" s="82">
        <f t="shared" si="75"/>
        <v>400</v>
      </c>
      <c r="N330" s="82">
        <f t="shared" si="77"/>
        <v>420</v>
      </c>
      <c r="O330" s="82">
        <f t="shared" si="76"/>
        <v>19320</v>
      </c>
      <c r="P330" s="82">
        <v>1</v>
      </c>
      <c r="Q330" s="82">
        <v>1</v>
      </c>
      <c r="R330" s="82">
        <f t="shared" si="73"/>
        <v>1012500</v>
      </c>
      <c r="S330" s="82">
        <f t="shared" si="72"/>
        <v>0</v>
      </c>
      <c r="T330" s="82">
        <f t="shared" si="74"/>
        <v>1012500</v>
      </c>
      <c r="U330" s="82">
        <f t="shared" si="62"/>
        <v>1012500</v>
      </c>
    </row>
    <row r="331" spans="1:21" s="47" customFormat="1" ht="26.25" customHeight="1">
      <c r="A331" s="118">
        <v>20</v>
      </c>
      <c r="B331" s="80" t="s">
        <v>46</v>
      </c>
      <c r="C331" s="344" t="s">
        <v>842</v>
      </c>
      <c r="D331" s="261" t="s">
        <v>599</v>
      </c>
      <c r="E331" s="80" t="s">
        <v>439</v>
      </c>
      <c r="F331" s="80" t="s">
        <v>1138</v>
      </c>
      <c r="G331" s="66">
        <v>10</v>
      </c>
      <c r="H331" s="82">
        <v>800</v>
      </c>
      <c r="I331" s="82">
        <v>2</v>
      </c>
      <c r="J331" s="84" t="s">
        <v>993</v>
      </c>
      <c r="K331" s="86">
        <v>0</v>
      </c>
      <c r="L331" s="82">
        <v>1</v>
      </c>
      <c r="M331" s="82">
        <f t="shared" si="75"/>
        <v>400</v>
      </c>
      <c r="N331" s="82">
        <f t="shared" si="77"/>
        <v>420</v>
      </c>
      <c r="O331" s="82">
        <f t="shared" si="76"/>
        <v>19320</v>
      </c>
      <c r="P331" s="82">
        <v>1</v>
      </c>
      <c r="Q331" s="82">
        <v>1</v>
      </c>
      <c r="R331" s="82">
        <f t="shared" si="73"/>
        <v>1012500</v>
      </c>
      <c r="S331" s="82">
        <f t="shared" si="72"/>
        <v>0</v>
      </c>
      <c r="T331" s="82">
        <f t="shared" si="74"/>
        <v>1012500</v>
      </c>
      <c r="U331" s="82">
        <f t="shared" si="62"/>
        <v>1012500</v>
      </c>
    </row>
    <row r="332" spans="1:21" s="47" customFormat="1" ht="25.5" customHeight="1">
      <c r="A332" s="118">
        <v>21</v>
      </c>
      <c r="B332" s="80" t="s">
        <v>46</v>
      </c>
      <c r="C332" s="344" t="s">
        <v>843</v>
      </c>
      <c r="D332" s="261" t="s">
        <v>599</v>
      </c>
      <c r="E332" s="80" t="s">
        <v>439</v>
      </c>
      <c r="F332" s="80" t="s">
        <v>1138</v>
      </c>
      <c r="G332" s="66">
        <v>10</v>
      </c>
      <c r="H332" s="82">
        <v>800</v>
      </c>
      <c r="I332" s="82">
        <v>2</v>
      </c>
      <c r="J332" s="84" t="s">
        <v>993</v>
      </c>
      <c r="K332" s="86">
        <v>0</v>
      </c>
      <c r="L332" s="82">
        <v>1</v>
      </c>
      <c r="M332" s="82">
        <f t="shared" si="75"/>
        <v>400</v>
      </c>
      <c r="N332" s="82">
        <f t="shared" si="77"/>
        <v>420</v>
      </c>
      <c r="O332" s="82">
        <f t="shared" si="76"/>
        <v>19320</v>
      </c>
      <c r="P332" s="82">
        <v>1</v>
      </c>
      <c r="Q332" s="82">
        <v>1</v>
      </c>
      <c r="R332" s="82">
        <f t="shared" si="73"/>
        <v>1012500</v>
      </c>
      <c r="S332" s="82">
        <f t="shared" si="72"/>
        <v>0</v>
      </c>
      <c r="T332" s="82">
        <f t="shared" si="74"/>
        <v>1012500</v>
      </c>
      <c r="U332" s="82">
        <f t="shared" si="62"/>
        <v>1012500</v>
      </c>
    </row>
    <row r="333" spans="1:22" s="47" customFormat="1" ht="24" customHeight="1">
      <c r="A333" s="118">
        <v>22</v>
      </c>
      <c r="B333" s="80" t="s">
        <v>46</v>
      </c>
      <c r="C333" s="344" t="s">
        <v>584</v>
      </c>
      <c r="D333" s="105" t="s">
        <v>585</v>
      </c>
      <c r="E333" s="80" t="s">
        <v>384</v>
      </c>
      <c r="F333" s="80" t="s">
        <v>1138</v>
      </c>
      <c r="G333" s="66">
        <v>15</v>
      </c>
      <c r="H333" s="82">
        <v>700</v>
      </c>
      <c r="I333" s="82">
        <v>2</v>
      </c>
      <c r="J333" s="84" t="s">
        <v>77</v>
      </c>
      <c r="K333" s="86">
        <v>1</v>
      </c>
      <c r="L333" s="82">
        <v>0</v>
      </c>
      <c r="M333" s="82">
        <f t="shared" si="75"/>
        <v>525</v>
      </c>
      <c r="N333" s="82">
        <f t="shared" si="77"/>
        <v>551.25</v>
      </c>
      <c r="O333" s="82">
        <f t="shared" si="76"/>
        <v>25357.5</v>
      </c>
      <c r="P333" s="82">
        <v>1</v>
      </c>
      <c r="Q333" s="82">
        <v>1</v>
      </c>
      <c r="R333" s="82">
        <f t="shared" si="73"/>
        <v>1012500</v>
      </c>
      <c r="S333" s="82">
        <f t="shared" si="72"/>
        <v>1012500</v>
      </c>
      <c r="T333" s="82">
        <f t="shared" si="74"/>
        <v>0</v>
      </c>
      <c r="U333" s="82">
        <f t="shared" si="62"/>
        <v>1012500</v>
      </c>
      <c r="V333" s="42"/>
    </row>
    <row r="334" spans="1:22" s="47" customFormat="1" ht="26.25" customHeight="1">
      <c r="A334" s="118">
        <v>23</v>
      </c>
      <c r="B334" s="80" t="s">
        <v>46</v>
      </c>
      <c r="C334" s="344" t="s">
        <v>586</v>
      </c>
      <c r="D334" s="105" t="s">
        <v>585</v>
      </c>
      <c r="E334" s="80" t="s">
        <v>384</v>
      </c>
      <c r="F334" s="80" t="s">
        <v>1138</v>
      </c>
      <c r="G334" s="66">
        <v>15</v>
      </c>
      <c r="H334" s="82">
        <v>700</v>
      </c>
      <c r="I334" s="82">
        <v>2</v>
      </c>
      <c r="J334" s="84" t="s">
        <v>62</v>
      </c>
      <c r="K334" s="86">
        <v>1</v>
      </c>
      <c r="L334" s="82">
        <v>0</v>
      </c>
      <c r="M334" s="82">
        <f t="shared" si="75"/>
        <v>525</v>
      </c>
      <c r="N334" s="82">
        <f t="shared" si="77"/>
        <v>551.25</v>
      </c>
      <c r="O334" s="82">
        <f t="shared" si="76"/>
        <v>25357.5</v>
      </c>
      <c r="P334" s="82">
        <v>1</v>
      </c>
      <c r="Q334" s="82">
        <v>1</v>
      </c>
      <c r="R334" s="82">
        <f t="shared" si="73"/>
        <v>1012500</v>
      </c>
      <c r="S334" s="82">
        <f t="shared" si="72"/>
        <v>1012500</v>
      </c>
      <c r="T334" s="82">
        <f t="shared" si="74"/>
        <v>0</v>
      </c>
      <c r="U334" s="82">
        <f t="shared" si="62"/>
        <v>1012500</v>
      </c>
      <c r="V334" s="42"/>
    </row>
    <row r="335" spans="1:22" s="47" customFormat="1" ht="20.25" customHeight="1">
      <c r="A335" s="118">
        <v>24</v>
      </c>
      <c r="B335" s="80" t="s">
        <v>100</v>
      </c>
      <c r="C335" s="344" t="s">
        <v>587</v>
      </c>
      <c r="D335" s="261" t="s">
        <v>588</v>
      </c>
      <c r="E335" s="80" t="s">
        <v>402</v>
      </c>
      <c r="F335" s="80" t="s">
        <v>1138</v>
      </c>
      <c r="G335" s="66">
        <v>8</v>
      </c>
      <c r="H335" s="82">
        <v>400</v>
      </c>
      <c r="I335" s="82">
        <v>1</v>
      </c>
      <c r="J335" s="84" t="s">
        <v>62</v>
      </c>
      <c r="K335" s="86">
        <v>1</v>
      </c>
      <c r="L335" s="82">
        <v>0</v>
      </c>
      <c r="M335" s="82">
        <f>(2*H335/5)+(6*H335*5/100)</f>
        <v>280</v>
      </c>
      <c r="N335" s="82">
        <f>(2*H335/5*0.15*5.5)+(6*H335*5/100*0.15*7)</f>
        <v>258</v>
      </c>
      <c r="O335" s="82">
        <f>((H335*2/5*6.6*5.5)+(H335*2/5*5.5*0.15*2))+((H335*6*5/100*6.6*7)+(H335*6*5/100*0.15*7*2))</f>
        <v>11868</v>
      </c>
      <c r="P335" s="82">
        <v>1</v>
      </c>
      <c r="Q335" s="82">
        <v>1</v>
      </c>
      <c r="R335" s="82">
        <f t="shared" si="73"/>
        <v>1012500</v>
      </c>
      <c r="S335" s="82">
        <f t="shared" si="72"/>
        <v>1012500</v>
      </c>
      <c r="T335" s="82">
        <f t="shared" si="74"/>
        <v>0</v>
      </c>
      <c r="U335" s="82">
        <f t="shared" si="62"/>
        <v>1012500</v>
      </c>
      <c r="V335" s="42"/>
    </row>
    <row r="336" spans="1:21" s="47" customFormat="1" ht="25.5" customHeight="1">
      <c r="A336" s="118">
        <v>25</v>
      </c>
      <c r="B336" s="80" t="s">
        <v>17</v>
      </c>
      <c r="C336" s="344" t="s">
        <v>1190</v>
      </c>
      <c r="D336" s="261" t="s">
        <v>1189</v>
      </c>
      <c r="E336" s="80" t="s">
        <v>378</v>
      </c>
      <c r="F336" s="80" t="s">
        <v>1138</v>
      </c>
      <c r="G336" s="66">
        <v>8</v>
      </c>
      <c r="H336" s="82">
        <v>800</v>
      </c>
      <c r="I336" s="82">
        <v>2</v>
      </c>
      <c r="J336" s="84" t="s">
        <v>993</v>
      </c>
      <c r="K336" s="86">
        <v>0</v>
      </c>
      <c r="L336" s="82">
        <v>1</v>
      </c>
      <c r="M336" s="82">
        <f>G336*H336/5</f>
        <v>1280</v>
      </c>
      <c r="N336" s="82">
        <f>M336*0.15*5.5</f>
        <v>1056</v>
      </c>
      <c r="O336" s="82">
        <f>M336*6.6*5.5+N336*2</f>
        <v>48576</v>
      </c>
      <c r="P336" s="82">
        <v>1</v>
      </c>
      <c r="Q336" s="82">
        <v>1</v>
      </c>
      <c r="R336" s="82">
        <f t="shared" si="73"/>
        <v>1012500</v>
      </c>
      <c r="S336" s="82">
        <f t="shared" si="72"/>
        <v>0</v>
      </c>
      <c r="T336" s="82">
        <f t="shared" si="74"/>
        <v>1012500</v>
      </c>
      <c r="U336" s="82">
        <f t="shared" si="62"/>
        <v>1012500</v>
      </c>
    </row>
    <row r="337" spans="1:22" s="47" customFormat="1" ht="20.25" customHeight="1">
      <c r="A337" s="118">
        <v>26</v>
      </c>
      <c r="B337" s="80" t="s">
        <v>46</v>
      </c>
      <c r="C337" s="344" t="s">
        <v>845</v>
      </c>
      <c r="D337" s="262" t="s">
        <v>664</v>
      </c>
      <c r="E337" s="80" t="s">
        <v>439</v>
      </c>
      <c r="F337" s="80" t="s">
        <v>1138</v>
      </c>
      <c r="G337" s="66">
        <v>16</v>
      </c>
      <c r="H337" s="82">
        <v>900</v>
      </c>
      <c r="I337" s="82">
        <v>3</v>
      </c>
      <c r="J337" s="84" t="s">
        <v>21</v>
      </c>
      <c r="K337" s="86">
        <v>1</v>
      </c>
      <c r="L337" s="82">
        <v>0</v>
      </c>
      <c r="M337" s="82">
        <f aca="true" t="shared" si="78" ref="M337:M348">G337*H337*5/100</f>
        <v>720</v>
      </c>
      <c r="N337" s="82">
        <f aca="true" t="shared" si="79" ref="N337:N348">M337*0.15*7</f>
        <v>756</v>
      </c>
      <c r="O337" s="82">
        <f aca="true" t="shared" si="80" ref="O337:O397">M337*6.6*7+N337*2</f>
        <v>34776</v>
      </c>
      <c r="P337" s="82">
        <v>1</v>
      </c>
      <c r="Q337" s="82">
        <v>1</v>
      </c>
      <c r="R337" s="82">
        <f t="shared" si="73"/>
        <v>1012500</v>
      </c>
      <c r="S337" s="82">
        <f t="shared" si="72"/>
        <v>1012500</v>
      </c>
      <c r="T337" s="82">
        <f t="shared" si="74"/>
        <v>0</v>
      </c>
      <c r="U337" s="82">
        <f t="shared" si="62"/>
        <v>1012500</v>
      </c>
      <c r="V337" s="42"/>
    </row>
    <row r="338" spans="1:22" s="47" customFormat="1" ht="20.25" customHeight="1">
      <c r="A338" s="118">
        <v>27</v>
      </c>
      <c r="B338" s="80" t="s">
        <v>46</v>
      </c>
      <c r="C338" s="344" t="s">
        <v>589</v>
      </c>
      <c r="D338" s="262" t="s">
        <v>664</v>
      </c>
      <c r="E338" s="80" t="s">
        <v>439</v>
      </c>
      <c r="F338" s="80" t="s">
        <v>1138</v>
      </c>
      <c r="G338" s="66">
        <v>15</v>
      </c>
      <c r="H338" s="82">
        <v>900</v>
      </c>
      <c r="I338" s="82">
        <v>3</v>
      </c>
      <c r="J338" s="84" t="s">
        <v>21</v>
      </c>
      <c r="K338" s="86">
        <v>1</v>
      </c>
      <c r="L338" s="82">
        <v>0</v>
      </c>
      <c r="M338" s="82">
        <f t="shared" si="78"/>
        <v>675</v>
      </c>
      <c r="N338" s="82">
        <f t="shared" si="79"/>
        <v>708.75</v>
      </c>
      <c r="O338" s="82">
        <f t="shared" si="80"/>
        <v>32602.5</v>
      </c>
      <c r="P338" s="82">
        <v>1</v>
      </c>
      <c r="Q338" s="82">
        <v>1</v>
      </c>
      <c r="R338" s="82">
        <f t="shared" si="73"/>
        <v>1012500</v>
      </c>
      <c r="S338" s="82">
        <f t="shared" si="72"/>
        <v>1012500</v>
      </c>
      <c r="T338" s="82">
        <f t="shared" si="74"/>
        <v>0</v>
      </c>
      <c r="U338" s="82">
        <f t="shared" si="62"/>
        <v>1012500</v>
      </c>
      <c r="V338" s="42"/>
    </row>
    <row r="339" spans="1:21" s="47" customFormat="1" ht="20.25" customHeight="1">
      <c r="A339" s="118">
        <v>28</v>
      </c>
      <c r="B339" s="80" t="s">
        <v>46</v>
      </c>
      <c r="C339" s="344" t="s">
        <v>811</v>
      </c>
      <c r="D339" s="261" t="s">
        <v>592</v>
      </c>
      <c r="E339" s="80" t="s">
        <v>389</v>
      </c>
      <c r="F339" s="80" t="s">
        <v>1138</v>
      </c>
      <c r="G339" s="66">
        <v>14</v>
      </c>
      <c r="H339" s="82">
        <v>800</v>
      </c>
      <c r="I339" s="82">
        <v>2</v>
      </c>
      <c r="J339" s="84" t="s">
        <v>993</v>
      </c>
      <c r="K339" s="86">
        <v>0</v>
      </c>
      <c r="L339" s="82">
        <v>1</v>
      </c>
      <c r="M339" s="82">
        <f t="shared" si="78"/>
        <v>560</v>
      </c>
      <c r="N339" s="82">
        <f t="shared" si="79"/>
        <v>588</v>
      </c>
      <c r="O339" s="82">
        <f t="shared" si="80"/>
        <v>27048</v>
      </c>
      <c r="P339" s="82">
        <v>1</v>
      </c>
      <c r="Q339" s="82">
        <v>1</v>
      </c>
      <c r="R339" s="82">
        <f t="shared" si="73"/>
        <v>1012500</v>
      </c>
      <c r="S339" s="82">
        <f t="shared" si="72"/>
        <v>0</v>
      </c>
      <c r="T339" s="82">
        <f t="shared" si="74"/>
        <v>1012500</v>
      </c>
      <c r="U339" s="82">
        <f t="shared" si="62"/>
        <v>1012500</v>
      </c>
    </row>
    <row r="340" spans="1:22" s="47" customFormat="1" ht="20.25" customHeight="1">
      <c r="A340" s="118">
        <v>29</v>
      </c>
      <c r="B340" s="80" t="s">
        <v>46</v>
      </c>
      <c r="C340" s="344" t="s">
        <v>590</v>
      </c>
      <c r="D340" s="261" t="s">
        <v>591</v>
      </c>
      <c r="E340" s="80" t="s">
        <v>384</v>
      </c>
      <c r="F340" s="80" t="s">
        <v>1138</v>
      </c>
      <c r="G340" s="66">
        <v>15</v>
      </c>
      <c r="H340" s="82">
        <v>1500</v>
      </c>
      <c r="I340" s="82">
        <v>2</v>
      </c>
      <c r="J340" s="84" t="s">
        <v>40</v>
      </c>
      <c r="K340" s="86">
        <v>1</v>
      </c>
      <c r="L340" s="82">
        <v>0</v>
      </c>
      <c r="M340" s="82">
        <f t="shared" si="78"/>
        <v>1125</v>
      </c>
      <c r="N340" s="82">
        <f t="shared" si="79"/>
        <v>1181.25</v>
      </c>
      <c r="O340" s="82">
        <f t="shared" si="80"/>
        <v>54337.5</v>
      </c>
      <c r="P340" s="82">
        <v>1</v>
      </c>
      <c r="Q340" s="82">
        <v>1</v>
      </c>
      <c r="R340" s="82">
        <f t="shared" si="73"/>
        <v>1012500</v>
      </c>
      <c r="S340" s="82">
        <f t="shared" si="72"/>
        <v>1012500</v>
      </c>
      <c r="T340" s="82">
        <f t="shared" si="74"/>
        <v>0</v>
      </c>
      <c r="U340" s="82">
        <f t="shared" si="62"/>
        <v>1012500</v>
      </c>
      <c r="V340" s="42"/>
    </row>
    <row r="341" spans="1:21" s="47" customFormat="1" ht="20.25" customHeight="1">
      <c r="A341" s="118">
        <v>30</v>
      </c>
      <c r="B341" s="80" t="s">
        <v>46</v>
      </c>
      <c r="C341" s="344" t="s">
        <v>593</v>
      </c>
      <c r="D341" s="261" t="s">
        <v>594</v>
      </c>
      <c r="E341" s="80" t="s">
        <v>374</v>
      </c>
      <c r="F341" s="80" t="s">
        <v>1138</v>
      </c>
      <c r="G341" s="66">
        <v>10</v>
      </c>
      <c r="H341" s="82">
        <v>1200</v>
      </c>
      <c r="I341" s="82">
        <v>2</v>
      </c>
      <c r="J341" s="84" t="s">
        <v>991</v>
      </c>
      <c r="K341" s="86">
        <v>0</v>
      </c>
      <c r="L341" s="82">
        <v>1</v>
      </c>
      <c r="M341" s="82">
        <f t="shared" si="78"/>
        <v>600</v>
      </c>
      <c r="N341" s="82">
        <f t="shared" si="79"/>
        <v>630</v>
      </c>
      <c r="O341" s="82">
        <f t="shared" si="80"/>
        <v>28980</v>
      </c>
      <c r="P341" s="82">
        <v>1</v>
      </c>
      <c r="Q341" s="82">
        <v>1</v>
      </c>
      <c r="R341" s="82">
        <f t="shared" si="73"/>
        <v>1012500</v>
      </c>
      <c r="S341" s="82">
        <f t="shared" si="72"/>
        <v>0</v>
      </c>
      <c r="T341" s="82">
        <f t="shared" si="74"/>
        <v>1012500</v>
      </c>
      <c r="U341" s="82">
        <f t="shared" si="62"/>
        <v>1012500</v>
      </c>
    </row>
    <row r="342" spans="1:21" s="47" customFormat="1" ht="20.25" customHeight="1">
      <c r="A342" s="118">
        <v>31</v>
      </c>
      <c r="B342" s="80" t="s">
        <v>46</v>
      </c>
      <c r="C342" s="344" t="s">
        <v>595</v>
      </c>
      <c r="D342" s="261" t="s">
        <v>596</v>
      </c>
      <c r="E342" s="80" t="s">
        <v>374</v>
      </c>
      <c r="F342" s="80" t="s">
        <v>1138</v>
      </c>
      <c r="G342" s="66">
        <v>14</v>
      </c>
      <c r="H342" s="82">
        <v>700</v>
      </c>
      <c r="I342" s="82">
        <v>2</v>
      </c>
      <c r="J342" s="84" t="s">
        <v>991</v>
      </c>
      <c r="K342" s="86">
        <v>0</v>
      </c>
      <c r="L342" s="82">
        <v>1</v>
      </c>
      <c r="M342" s="82">
        <f t="shared" si="78"/>
        <v>490</v>
      </c>
      <c r="N342" s="82">
        <f t="shared" si="79"/>
        <v>514.5</v>
      </c>
      <c r="O342" s="82">
        <f t="shared" si="80"/>
        <v>23667</v>
      </c>
      <c r="P342" s="82">
        <v>1</v>
      </c>
      <c r="Q342" s="82">
        <v>1</v>
      </c>
      <c r="R342" s="82">
        <f t="shared" si="73"/>
        <v>1012500</v>
      </c>
      <c r="S342" s="82">
        <f t="shared" si="72"/>
        <v>0</v>
      </c>
      <c r="T342" s="82">
        <f t="shared" si="74"/>
        <v>1012500</v>
      </c>
      <c r="U342" s="82">
        <f t="shared" si="62"/>
        <v>1012500</v>
      </c>
    </row>
    <row r="343" spans="1:22" s="47" customFormat="1" ht="20.25" customHeight="1">
      <c r="A343" s="118">
        <v>32</v>
      </c>
      <c r="B343" s="80" t="s">
        <v>46</v>
      </c>
      <c r="C343" s="344" t="s">
        <v>600</v>
      </c>
      <c r="D343" s="261" t="s">
        <v>601</v>
      </c>
      <c r="E343" s="80" t="s">
        <v>374</v>
      </c>
      <c r="F343" s="81" t="s">
        <v>1112</v>
      </c>
      <c r="G343" s="66">
        <v>19</v>
      </c>
      <c r="H343" s="82">
        <v>1800</v>
      </c>
      <c r="I343" s="82">
        <v>4</v>
      </c>
      <c r="J343" s="84" t="s">
        <v>40</v>
      </c>
      <c r="K343" s="86">
        <v>1</v>
      </c>
      <c r="L343" s="82">
        <v>0</v>
      </c>
      <c r="M343" s="82">
        <f t="shared" si="78"/>
        <v>1710</v>
      </c>
      <c r="N343" s="82">
        <f t="shared" si="79"/>
        <v>1795.5</v>
      </c>
      <c r="O343" s="82">
        <f t="shared" si="80"/>
        <v>82593</v>
      </c>
      <c r="P343" s="82">
        <v>1</v>
      </c>
      <c r="Q343" s="82">
        <v>1</v>
      </c>
      <c r="R343" s="82">
        <f t="shared" si="73"/>
        <v>1012500</v>
      </c>
      <c r="S343" s="82">
        <f t="shared" si="72"/>
        <v>1012500</v>
      </c>
      <c r="T343" s="82">
        <f t="shared" si="74"/>
        <v>0</v>
      </c>
      <c r="U343" s="82">
        <f t="shared" si="62"/>
        <v>1012500</v>
      </c>
      <c r="V343" s="42"/>
    </row>
    <row r="344" spans="1:22" s="47" customFormat="1" ht="27.75" customHeight="1">
      <c r="A344" s="118">
        <v>33</v>
      </c>
      <c r="B344" s="80" t="s">
        <v>46</v>
      </c>
      <c r="C344" s="344" t="s">
        <v>602</v>
      </c>
      <c r="D344" s="105" t="s">
        <v>603</v>
      </c>
      <c r="E344" s="80" t="s">
        <v>396</v>
      </c>
      <c r="F344" s="80" t="s">
        <v>1138</v>
      </c>
      <c r="G344" s="66">
        <v>10</v>
      </c>
      <c r="H344" s="82">
        <v>700</v>
      </c>
      <c r="I344" s="82">
        <v>2</v>
      </c>
      <c r="J344" s="84" t="s">
        <v>62</v>
      </c>
      <c r="K344" s="86">
        <v>1</v>
      </c>
      <c r="L344" s="82">
        <v>0</v>
      </c>
      <c r="M344" s="82">
        <f t="shared" si="78"/>
        <v>350</v>
      </c>
      <c r="N344" s="82">
        <f t="shared" si="79"/>
        <v>367.5</v>
      </c>
      <c r="O344" s="82">
        <f t="shared" si="80"/>
        <v>16905</v>
      </c>
      <c r="P344" s="82">
        <v>1</v>
      </c>
      <c r="Q344" s="82">
        <v>1</v>
      </c>
      <c r="R344" s="82">
        <f t="shared" si="73"/>
        <v>1012500</v>
      </c>
      <c r="S344" s="82">
        <f t="shared" si="72"/>
        <v>1012500</v>
      </c>
      <c r="T344" s="82">
        <f t="shared" si="74"/>
        <v>0</v>
      </c>
      <c r="U344" s="82">
        <f t="shared" si="62"/>
        <v>1012500</v>
      </c>
      <c r="V344" s="42"/>
    </row>
    <row r="345" spans="1:22" s="47" customFormat="1" ht="24.75" customHeight="1">
      <c r="A345" s="118">
        <v>34</v>
      </c>
      <c r="B345" s="80" t="s">
        <v>46</v>
      </c>
      <c r="C345" s="344" t="s">
        <v>604</v>
      </c>
      <c r="D345" s="105" t="s">
        <v>603</v>
      </c>
      <c r="E345" s="80" t="s">
        <v>396</v>
      </c>
      <c r="F345" s="80" t="s">
        <v>1138</v>
      </c>
      <c r="G345" s="66">
        <v>18</v>
      </c>
      <c r="H345" s="82">
        <v>800</v>
      </c>
      <c r="I345" s="82">
        <v>2</v>
      </c>
      <c r="J345" s="84" t="s">
        <v>62</v>
      </c>
      <c r="K345" s="86">
        <v>1</v>
      </c>
      <c r="L345" s="82">
        <v>0</v>
      </c>
      <c r="M345" s="82">
        <f t="shared" si="78"/>
        <v>720</v>
      </c>
      <c r="N345" s="82">
        <f t="shared" si="79"/>
        <v>756</v>
      </c>
      <c r="O345" s="82">
        <f t="shared" si="80"/>
        <v>34776</v>
      </c>
      <c r="P345" s="82">
        <v>1</v>
      </c>
      <c r="Q345" s="82">
        <v>1</v>
      </c>
      <c r="R345" s="82">
        <f t="shared" si="73"/>
        <v>1012500</v>
      </c>
      <c r="S345" s="82">
        <f t="shared" si="72"/>
        <v>1012500</v>
      </c>
      <c r="T345" s="82">
        <f t="shared" si="74"/>
        <v>0</v>
      </c>
      <c r="U345" s="82">
        <f t="shared" si="62"/>
        <v>1012500</v>
      </c>
      <c r="V345" s="42"/>
    </row>
    <row r="346" spans="1:22" s="47" customFormat="1" ht="27.75" customHeight="1">
      <c r="A346" s="118">
        <v>35</v>
      </c>
      <c r="B346" s="80" t="s">
        <v>46</v>
      </c>
      <c r="C346" s="344" t="s">
        <v>605</v>
      </c>
      <c r="D346" s="105" t="s">
        <v>603</v>
      </c>
      <c r="E346" s="80" t="s">
        <v>396</v>
      </c>
      <c r="F346" s="80" t="s">
        <v>1138</v>
      </c>
      <c r="G346" s="66">
        <v>10</v>
      </c>
      <c r="H346" s="82">
        <v>700</v>
      </c>
      <c r="I346" s="82">
        <v>2</v>
      </c>
      <c r="J346" s="84" t="s">
        <v>62</v>
      </c>
      <c r="K346" s="86">
        <v>1</v>
      </c>
      <c r="L346" s="82">
        <v>0</v>
      </c>
      <c r="M346" s="82">
        <f t="shared" si="78"/>
        <v>350</v>
      </c>
      <c r="N346" s="82">
        <f t="shared" si="79"/>
        <v>367.5</v>
      </c>
      <c r="O346" s="82">
        <f t="shared" si="80"/>
        <v>16905</v>
      </c>
      <c r="P346" s="82">
        <v>1</v>
      </c>
      <c r="Q346" s="82">
        <v>1</v>
      </c>
      <c r="R346" s="82">
        <f t="shared" si="73"/>
        <v>1012500</v>
      </c>
      <c r="S346" s="82">
        <f t="shared" si="72"/>
        <v>1012500</v>
      </c>
      <c r="T346" s="82">
        <f t="shared" si="74"/>
        <v>0</v>
      </c>
      <c r="U346" s="82">
        <f t="shared" si="62"/>
        <v>1012500</v>
      </c>
      <c r="V346" s="42"/>
    </row>
    <row r="347" spans="1:22" s="47" customFormat="1" ht="24.75" customHeight="1">
      <c r="A347" s="118">
        <v>36</v>
      </c>
      <c r="B347" s="80" t="s">
        <v>46</v>
      </c>
      <c r="C347" s="344" t="s">
        <v>823</v>
      </c>
      <c r="D347" s="105" t="s">
        <v>603</v>
      </c>
      <c r="E347" s="80" t="s">
        <v>396</v>
      </c>
      <c r="F347" s="80" t="s">
        <v>1138</v>
      </c>
      <c r="G347" s="66">
        <v>10</v>
      </c>
      <c r="H347" s="82">
        <v>450</v>
      </c>
      <c r="I347" s="82">
        <v>2</v>
      </c>
      <c r="J347" s="84" t="s">
        <v>62</v>
      </c>
      <c r="K347" s="86">
        <v>1</v>
      </c>
      <c r="L347" s="82">
        <v>0</v>
      </c>
      <c r="M347" s="82">
        <f t="shared" si="78"/>
        <v>225</v>
      </c>
      <c r="N347" s="82">
        <f t="shared" si="79"/>
        <v>236.25</v>
      </c>
      <c r="O347" s="82">
        <f t="shared" si="80"/>
        <v>10867.5</v>
      </c>
      <c r="P347" s="82">
        <v>1</v>
      </c>
      <c r="Q347" s="82">
        <v>1</v>
      </c>
      <c r="R347" s="82">
        <f t="shared" si="73"/>
        <v>1012500</v>
      </c>
      <c r="S347" s="82">
        <f t="shared" si="72"/>
        <v>1012500</v>
      </c>
      <c r="T347" s="82">
        <f t="shared" si="74"/>
        <v>0</v>
      </c>
      <c r="U347" s="82">
        <f t="shared" si="62"/>
        <v>1012500</v>
      </c>
      <c r="V347" s="42"/>
    </row>
    <row r="348" spans="1:22" s="47" customFormat="1" ht="26.25" customHeight="1">
      <c r="A348" s="118">
        <v>37</v>
      </c>
      <c r="B348" s="80" t="s">
        <v>46</v>
      </c>
      <c r="C348" s="344" t="s">
        <v>824</v>
      </c>
      <c r="D348" s="105" t="s">
        <v>603</v>
      </c>
      <c r="E348" s="80" t="s">
        <v>396</v>
      </c>
      <c r="F348" s="80" t="s">
        <v>1138</v>
      </c>
      <c r="G348" s="66">
        <v>10</v>
      </c>
      <c r="H348" s="82">
        <v>450</v>
      </c>
      <c r="I348" s="82">
        <v>2</v>
      </c>
      <c r="J348" s="84" t="s">
        <v>62</v>
      </c>
      <c r="K348" s="86">
        <v>1</v>
      </c>
      <c r="L348" s="82">
        <v>0</v>
      </c>
      <c r="M348" s="82">
        <f t="shared" si="78"/>
        <v>225</v>
      </c>
      <c r="N348" s="82">
        <f t="shared" si="79"/>
        <v>236.25</v>
      </c>
      <c r="O348" s="82">
        <f t="shared" si="80"/>
        <v>10867.5</v>
      </c>
      <c r="P348" s="82">
        <v>1</v>
      </c>
      <c r="Q348" s="82">
        <v>1</v>
      </c>
      <c r="R348" s="82">
        <f t="shared" si="73"/>
        <v>1012500</v>
      </c>
      <c r="S348" s="82">
        <f t="shared" si="72"/>
        <v>1012500</v>
      </c>
      <c r="T348" s="82">
        <f t="shared" si="74"/>
        <v>0</v>
      </c>
      <c r="U348" s="82">
        <f t="shared" si="62"/>
        <v>1012500</v>
      </c>
      <c r="V348" s="42"/>
    </row>
    <row r="349" spans="1:21" s="47" customFormat="1" ht="20.25" customHeight="1">
      <c r="A349" s="118">
        <v>38</v>
      </c>
      <c r="B349" s="80" t="s">
        <v>17</v>
      </c>
      <c r="C349" s="344" t="s">
        <v>606</v>
      </c>
      <c r="D349" s="261" t="s">
        <v>607</v>
      </c>
      <c r="E349" s="80" t="s">
        <v>389</v>
      </c>
      <c r="F349" s="80" t="s">
        <v>1138</v>
      </c>
      <c r="G349" s="66">
        <v>9</v>
      </c>
      <c r="H349" s="82">
        <v>200</v>
      </c>
      <c r="I349" s="82">
        <v>1</v>
      </c>
      <c r="J349" s="84" t="s">
        <v>992</v>
      </c>
      <c r="K349" s="86">
        <v>0</v>
      </c>
      <c r="L349" s="82">
        <v>1</v>
      </c>
      <c r="M349" s="82">
        <f>G349*H349/5</f>
        <v>360</v>
      </c>
      <c r="N349" s="82">
        <f>M349*0.15*5.5</f>
        <v>297</v>
      </c>
      <c r="O349" s="82">
        <f>M349*6.6*5.5+N349*2</f>
        <v>13662</v>
      </c>
      <c r="P349" s="82">
        <v>1</v>
      </c>
      <c r="Q349" s="82">
        <v>1</v>
      </c>
      <c r="R349" s="82">
        <f t="shared" si="73"/>
        <v>1012500</v>
      </c>
      <c r="S349" s="82">
        <f t="shared" si="72"/>
        <v>0</v>
      </c>
      <c r="T349" s="82">
        <f t="shared" si="74"/>
        <v>1012500</v>
      </c>
      <c r="U349" s="82">
        <f t="shared" si="62"/>
        <v>1012500</v>
      </c>
    </row>
    <row r="350" spans="1:21" s="47" customFormat="1" ht="20.25" customHeight="1">
      <c r="A350" s="118">
        <v>39</v>
      </c>
      <c r="B350" s="80" t="s">
        <v>46</v>
      </c>
      <c r="C350" s="344" t="s">
        <v>836</v>
      </c>
      <c r="D350" s="261" t="s">
        <v>598</v>
      </c>
      <c r="E350" s="80" t="s">
        <v>439</v>
      </c>
      <c r="F350" s="80" t="s">
        <v>1138</v>
      </c>
      <c r="G350" s="66">
        <v>9</v>
      </c>
      <c r="H350" s="82">
        <v>1000</v>
      </c>
      <c r="I350" s="82">
        <v>1</v>
      </c>
      <c r="J350" s="84" t="s">
        <v>62</v>
      </c>
      <c r="K350" s="86">
        <v>1</v>
      </c>
      <c r="L350" s="82"/>
      <c r="M350" s="82">
        <f aca="true" t="shared" si="81" ref="M350:M356">G350*H350*5/100</f>
        <v>450</v>
      </c>
      <c r="N350" s="82">
        <f>M350*0.15*7</f>
        <v>472.5</v>
      </c>
      <c r="O350" s="82">
        <f t="shared" si="80"/>
        <v>21735</v>
      </c>
      <c r="P350" s="82">
        <v>1</v>
      </c>
      <c r="Q350" s="82">
        <v>1</v>
      </c>
      <c r="R350" s="82">
        <f t="shared" si="73"/>
        <v>1012500</v>
      </c>
      <c r="S350" s="82">
        <f t="shared" si="72"/>
        <v>1012500</v>
      </c>
      <c r="T350" s="82">
        <f t="shared" si="74"/>
        <v>0</v>
      </c>
      <c r="U350" s="82">
        <f t="shared" si="62"/>
        <v>1012500</v>
      </c>
    </row>
    <row r="351" spans="1:21" s="47" customFormat="1" ht="20.25" customHeight="1">
      <c r="A351" s="118">
        <v>40</v>
      </c>
      <c r="B351" s="80" t="s">
        <v>46</v>
      </c>
      <c r="C351" s="344" t="s">
        <v>837</v>
      </c>
      <c r="D351" s="261" t="s">
        <v>597</v>
      </c>
      <c r="E351" s="80" t="s">
        <v>439</v>
      </c>
      <c r="F351" s="80" t="s">
        <v>1138</v>
      </c>
      <c r="G351" s="66">
        <v>12</v>
      </c>
      <c r="H351" s="82">
        <v>900</v>
      </c>
      <c r="I351" s="82">
        <v>2</v>
      </c>
      <c r="J351" s="84" t="s">
        <v>40</v>
      </c>
      <c r="K351" s="86">
        <v>1</v>
      </c>
      <c r="L351" s="82"/>
      <c r="M351" s="82">
        <f t="shared" si="81"/>
        <v>540</v>
      </c>
      <c r="N351" s="82">
        <f aca="true" t="shared" si="82" ref="N351:N357">M351*0.15*7</f>
        <v>567</v>
      </c>
      <c r="O351" s="82">
        <f t="shared" si="80"/>
        <v>26082</v>
      </c>
      <c r="P351" s="82">
        <v>1</v>
      </c>
      <c r="Q351" s="82">
        <v>1</v>
      </c>
      <c r="R351" s="82">
        <f t="shared" si="73"/>
        <v>1012500</v>
      </c>
      <c r="S351" s="82">
        <f t="shared" si="72"/>
        <v>1012500</v>
      </c>
      <c r="T351" s="82">
        <f t="shared" si="74"/>
        <v>0</v>
      </c>
      <c r="U351" s="82">
        <f t="shared" si="62"/>
        <v>1012500</v>
      </c>
    </row>
    <row r="352" spans="1:21" s="47" customFormat="1" ht="20.25" customHeight="1">
      <c r="A352" s="118">
        <v>41</v>
      </c>
      <c r="B352" s="80" t="s">
        <v>46</v>
      </c>
      <c r="C352" s="344" t="s">
        <v>838</v>
      </c>
      <c r="D352" s="261" t="s">
        <v>597</v>
      </c>
      <c r="E352" s="80" t="s">
        <v>439</v>
      </c>
      <c r="F352" s="80" t="s">
        <v>1138</v>
      </c>
      <c r="G352" s="66">
        <v>12</v>
      </c>
      <c r="H352" s="82">
        <v>1000</v>
      </c>
      <c r="I352" s="82">
        <v>1</v>
      </c>
      <c r="J352" s="84" t="s">
        <v>994</v>
      </c>
      <c r="K352" s="86">
        <v>0</v>
      </c>
      <c r="L352" s="82">
        <v>1</v>
      </c>
      <c r="M352" s="82">
        <f t="shared" si="81"/>
        <v>600</v>
      </c>
      <c r="N352" s="82">
        <f t="shared" si="82"/>
        <v>630</v>
      </c>
      <c r="O352" s="82">
        <f t="shared" si="80"/>
        <v>28980</v>
      </c>
      <c r="P352" s="82">
        <v>1</v>
      </c>
      <c r="Q352" s="82">
        <v>1</v>
      </c>
      <c r="R352" s="82">
        <f t="shared" si="73"/>
        <v>1012500</v>
      </c>
      <c r="S352" s="82">
        <f t="shared" si="72"/>
        <v>0</v>
      </c>
      <c r="T352" s="82">
        <f t="shared" si="74"/>
        <v>1012500</v>
      </c>
      <c r="U352" s="82">
        <f t="shared" si="62"/>
        <v>1012500</v>
      </c>
    </row>
    <row r="353" spans="1:21" s="47" customFormat="1" ht="20.25" customHeight="1">
      <c r="A353" s="118">
        <v>42</v>
      </c>
      <c r="B353" s="80" t="s">
        <v>46</v>
      </c>
      <c r="C353" s="344" t="s">
        <v>839</v>
      </c>
      <c r="D353" s="261" t="s">
        <v>597</v>
      </c>
      <c r="E353" s="80" t="s">
        <v>439</v>
      </c>
      <c r="F353" s="80" t="s">
        <v>1138</v>
      </c>
      <c r="G353" s="66">
        <v>12</v>
      </c>
      <c r="H353" s="82">
        <v>900</v>
      </c>
      <c r="I353" s="82">
        <v>2</v>
      </c>
      <c r="J353" s="84" t="s">
        <v>993</v>
      </c>
      <c r="K353" s="86">
        <v>0</v>
      </c>
      <c r="L353" s="82">
        <v>1</v>
      </c>
      <c r="M353" s="82">
        <f t="shared" si="81"/>
        <v>540</v>
      </c>
      <c r="N353" s="82">
        <f t="shared" si="82"/>
        <v>567</v>
      </c>
      <c r="O353" s="82">
        <f t="shared" si="80"/>
        <v>26082</v>
      </c>
      <c r="P353" s="82">
        <v>1</v>
      </c>
      <c r="Q353" s="82">
        <v>1</v>
      </c>
      <c r="R353" s="82">
        <f t="shared" si="73"/>
        <v>1012500</v>
      </c>
      <c r="S353" s="82">
        <f t="shared" si="72"/>
        <v>0</v>
      </c>
      <c r="T353" s="82">
        <f t="shared" si="74"/>
        <v>1012500</v>
      </c>
      <c r="U353" s="82">
        <f t="shared" si="62"/>
        <v>1012500</v>
      </c>
    </row>
    <row r="354" spans="1:21" s="47" customFormat="1" ht="20.25" customHeight="1">
      <c r="A354" s="118">
        <v>43</v>
      </c>
      <c r="B354" s="80" t="s">
        <v>46</v>
      </c>
      <c r="C354" s="344" t="s">
        <v>815</v>
      </c>
      <c r="D354" s="261" t="s">
        <v>597</v>
      </c>
      <c r="E354" s="80" t="s">
        <v>439</v>
      </c>
      <c r="F354" s="80" t="s">
        <v>1138</v>
      </c>
      <c r="G354" s="66">
        <v>14</v>
      </c>
      <c r="H354" s="82">
        <v>800</v>
      </c>
      <c r="I354" s="82">
        <v>2</v>
      </c>
      <c r="J354" s="84" t="s">
        <v>993</v>
      </c>
      <c r="K354" s="86">
        <v>0</v>
      </c>
      <c r="L354" s="82">
        <v>1</v>
      </c>
      <c r="M354" s="82">
        <f t="shared" si="81"/>
        <v>560</v>
      </c>
      <c r="N354" s="82">
        <f t="shared" si="82"/>
        <v>588</v>
      </c>
      <c r="O354" s="82">
        <f t="shared" si="80"/>
        <v>27048</v>
      </c>
      <c r="P354" s="82">
        <v>1</v>
      </c>
      <c r="Q354" s="82">
        <v>1</v>
      </c>
      <c r="R354" s="82">
        <f t="shared" si="73"/>
        <v>1012500</v>
      </c>
      <c r="S354" s="82">
        <f t="shared" si="72"/>
        <v>0</v>
      </c>
      <c r="T354" s="82">
        <f t="shared" si="74"/>
        <v>1012500</v>
      </c>
      <c r="U354" s="82">
        <f t="shared" si="62"/>
        <v>1012500</v>
      </c>
    </row>
    <row r="355" spans="1:21" s="47" customFormat="1" ht="20.25" customHeight="1">
      <c r="A355" s="118">
        <v>44</v>
      </c>
      <c r="B355" s="80" t="s">
        <v>46</v>
      </c>
      <c r="C355" s="344" t="s">
        <v>816</v>
      </c>
      <c r="D355" s="261" t="s">
        <v>598</v>
      </c>
      <c r="E355" s="80" t="s">
        <v>439</v>
      </c>
      <c r="F355" s="80" t="s">
        <v>1138</v>
      </c>
      <c r="G355" s="66">
        <v>14</v>
      </c>
      <c r="H355" s="82">
        <v>800</v>
      </c>
      <c r="I355" s="82">
        <v>2</v>
      </c>
      <c r="J355" s="84" t="s">
        <v>993</v>
      </c>
      <c r="K355" s="86">
        <v>0</v>
      </c>
      <c r="L355" s="82">
        <v>1</v>
      </c>
      <c r="M355" s="82">
        <f t="shared" si="81"/>
        <v>560</v>
      </c>
      <c r="N355" s="82">
        <f t="shared" si="82"/>
        <v>588</v>
      </c>
      <c r="O355" s="82">
        <f t="shared" si="80"/>
        <v>27048</v>
      </c>
      <c r="P355" s="82">
        <v>1</v>
      </c>
      <c r="Q355" s="82">
        <v>1</v>
      </c>
      <c r="R355" s="82">
        <f t="shared" si="73"/>
        <v>1012500</v>
      </c>
      <c r="S355" s="82">
        <f t="shared" si="72"/>
        <v>0</v>
      </c>
      <c r="T355" s="82">
        <f t="shared" si="74"/>
        <v>1012500</v>
      </c>
      <c r="U355" s="82">
        <f t="shared" si="62"/>
        <v>1012500</v>
      </c>
    </row>
    <row r="356" spans="1:22" s="47" customFormat="1" ht="20.25" customHeight="1">
      <c r="A356" s="118">
        <v>45</v>
      </c>
      <c r="B356" s="80" t="s">
        <v>17</v>
      </c>
      <c r="C356" s="344" t="s">
        <v>847</v>
      </c>
      <c r="D356" s="261" t="s">
        <v>955</v>
      </c>
      <c r="E356" s="80" t="s">
        <v>396</v>
      </c>
      <c r="F356" s="80" t="s">
        <v>1138</v>
      </c>
      <c r="G356" s="66">
        <v>8</v>
      </c>
      <c r="H356" s="82">
        <v>320</v>
      </c>
      <c r="I356" s="82">
        <v>1</v>
      </c>
      <c r="J356" s="84" t="s">
        <v>62</v>
      </c>
      <c r="K356" s="86">
        <v>1</v>
      </c>
      <c r="L356" s="82">
        <v>0</v>
      </c>
      <c r="M356" s="82">
        <f t="shared" si="81"/>
        <v>128</v>
      </c>
      <c r="N356" s="82">
        <f t="shared" si="82"/>
        <v>134.4</v>
      </c>
      <c r="O356" s="82">
        <f t="shared" si="80"/>
        <v>6182.4</v>
      </c>
      <c r="P356" s="82">
        <v>1</v>
      </c>
      <c r="Q356" s="82">
        <v>1</v>
      </c>
      <c r="R356" s="82">
        <f t="shared" si="73"/>
        <v>1012500</v>
      </c>
      <c r="S356" s="82">
        <f t="shared" si="72"/>
        <v>1012500</v>
      </c>
      <c r="T356" s="82">
        <f t="shared" si="74"/>
        <v>0</v>
      </c>
      <c r="U356" s="82">
        <f t="shared" si="62"/>
        <v>1012500</v>
      </c>
      <c r="V356" s="42"/>
    </row>
    <row r="357" spans="1:21" s="47" customFormat="1" ht="20.25" customHeight="1">
      <c r="A357" s="118">
        <v>46</v>
      </c>
      <c r="B357" s="80" t="s">
        <v>100</v>
      </c>
      <c r="C357" s="344" t="s">
        <v>608</v>
      </c>
      <c r="D357" s="261" t="s">
        <v>609</v>
      </c>
      <c r="E357" s="80" t="s">
        <v>378</v>
      </c>
      <c r="F357" s="80" t="s">
        <v>1138</v>
      </c>
      <c r="G357" s="66">
        <v>15</v>
      </c>
      <c r="H357" s="82">
        <v>1000</v>
      </c>
      <c r="I357" s="82">
        <v>2</v>
      </c>
      <c r="J357" s="84" t="s">
        <v>993</v>
      </c>
      <c r="K357" s="86">
        <v>0</v>
      </c>
      <c r="L357" s="82">
        <v>1</v>
      </c>
      <c r="M357" s="82">
        <f>G357*H357/5</f>
        <v>3000</v>
      </c>
      <c r="N357" s="82">
        <f t="shared" si="82"/>
        <v>3150</v>
      </c>
      <c r="O357" s="82">
        <f t="shared" si="80"/>
        <v>144900</v>
      </c>
      <c r="P357" s="82">
        <v>1</v>
      </c>
      <c r="Q357" s="82">
        <v>1</v>
      </c>
      <c r="R357" s="82">
        <f t="shared" si="73"/>
        <v>1012500</v>
      </c>
      <c r="S357" s="82">
        <f t="shared" si="72"/>
        <v>0</v>
      </c>
      <c r="T357" s="82">
        <f t="shared" si="74"/>
        <v>1012500</v>
      </c>
      <c r="U357" s="82">
        <f t="shared" si="62"/>
        <v>1012500</v>
      </c>
    </row>
    <row r="358" spans="1:22" s="47" customFormat="1" ht="20.25" customHeight="1">
      <c r="A358" s="118">
        <v>47</v>
      </c>
      <c r="B358" s="80" t="s">
        <v>17</v>
      </c>
      <c r="C358" s="344" t="s">
        <v>610</v>
      </c>
      <c r="D358" s="261" t="s">
        <v>611</v>
      </c>
      <c r="E358" s="80" t="s">
        <v>386</v>
      </c>
      <c r="F358" s="80" t="s">
        <v>1138</v>
      </c>
      <c r="G358" s="66">
        <v>9</v>
      </c>
      <c r="H358" s="82">
        <v>350</v>
      </c>
      <c r="I358" s="82">
        <v>2</v>
      </c>
      <c r="J358" s="84" t="s">
        <v>25</v>
      </c>
      <c r="K358" s="86">
        <v>1</v>
      </c>
      <c r="L358" s="82"/>
      <c r="M358" s="82">
        <f>H358*G358/5+H358*G358*5/100</f>
        <v>787.5</v>
      </c>
      <c r="N358" s="82">
        <f>H358*G358/5*0.15*6+H358*G358*5/100*0.15*7</f>
        <v>732.375</v>
      </c>
      <c r="O358" s="82">
        <f>((H358*G358/5*6.7*6)+(H358*G358/5*6*0.15*2)+(H358*G358*5/100)+(H358*G358*0.15*7*2))</f>
        <v>33232.5</v>
      </c>
      <c r="P358" s="82">
        <v>1</v>
      </c>
      <c r="Q358" s="82">
        <v>1</v>
      </c>
      <c r="R358" s="82">
        <f t="shared" si="73"/>
        <v>1012500</v>
      </c>
      <c r="S358" s="82">
        <f t="shared" si="72"/>
        <v>1012500</v>
      </c>
      <c r="T358" s="82">
        <f t="shared" si="74"/>
        <v>0</v>
      </c>
      <c r="U358" s="82">
        <f t="shared" si="62"/>
        <v>1012500</v>
      </c>
      <c r="V358" s="42"/>
    </row>
    <row r="359" spans="1:22" s="47" customFormat="1" ht="20.25" customHeight="1">
      <c r="A359" s="118">
        <v>48</v>
      </c>
      <c r="B359" s="80" t="s">
        <v>46</v>
      </c>
      <c r="C359" s="345" t="s">
        <v>612</v>
      </c>
      <c r="D359" s="105" t="s">
        <v>1026</v>
      </c>
      <c r="E359" s="80" t="s">
        <v>384</v>
      </c>
      <c r="F359" s="80" t="s">
        <v>1138</v>
      </c>
      <c r="G359" s="66">
        <v>12</v>
      </c>
      <c r="H359" s="82">
        <v>700</v>
      </c>
      <c r="I359" s="82">
        <v>2</v>
      </c>
      <c r="J359" s="84" t="s">
        <v>62</v>
      </c>
      <c r="K359" s="86">
        <v>1</v>
      </c>
      <c r="L359" s="82">
        <v>0</v>
      </c>
      <c r="M359" s="82">
        <f>G359*H359/5</f>
        <v>1680</v>
      </c>
      <c r="N359" s="82">
        <f>M359*0.15*5.5</f>
        <v>1386</v>
      </c>
      <c r="O359" s="82">
        <f>M359*6.6*5.5+N359*2</f>
        <v>63756</v>
      </c>
      <c r="P359" s="82">
        <v>1</v>
      </c>
      <c r="Q359" s="82">
        <v>1</v>
      </c>
      <c r="R359" s="82">
        <f t="shared" si="73"/>
        <v>1012500</v>
      </c>
      <c r="S359" s="82">
        <f>R359*Q359*P359*K359</f>
        <v>1012500</v>
      </c>
      <c r="T359" s="82">
        <f t="shared" si="74"/>
        <v>0</v>
      </c>
      <c r="U359" s="82">
        <f t="shared" si="62"/>
        <v>1012500</v>
      </c>
      <c r="V359" s="42"/>
    </row>
    <row r="360" spans="1:22" s="47" customFormat="1" ht="20.25" customHeight="1">
      <c r="A360" s="118">
        <v>49</v>
      </c>
      <c r="B360" s="80" t="s">
        <v>46</v>
      </c>
      <c r="C360" s="345" t="s">
        <v>613</v>
      </c>
      <c r="D360" s="105" t="s">
        <v>1026</v>
      </c>
      <c r="E360" s="80" t="s">
        <v>384</v>
      </c>
      <c r="F360" s="80" t="s">
        <v>1138</v>
      </c>
      <c r="G360" s="66">
        <v>9</v>
      </c>
      <c r="H360" s="82">
        <v>500</v>
      </c>
      <c r="I360" s="82">
        <v>2</v>
      </c>
      <c r="J360" s="84" t="s">
        <v>62</v>
      </c>
      <c r="K360" s="86">
        <v>1</v>
      </c>
      <c r="L360" s="82">
        <v>0</v>
      </c>
      <c r="M360" s="82">
        <f>G360*H360*5/100</f>
        <v>225</v>
      </c>
      <c r="N360" s="82">
        <f>M360*0.15*7</f>
        <v>236.25</v>
      </c>
      <c r="O360" s="82">
        <f t="shared" si="80"/>
        <v>10867.5</v>
      </c>
      <c r="P360" s="82">
        <v>1</v>
      </c>
      <c r="Q360" s="82">
        <v>1</v>
      </c>
      <c r="R360" s="82">
        <f t="shared" si="73"/>
        <v>1012500</v>
      </c>
      <c r="S360" s="82">
        <f t="shared" si="72"/>
        <v>1012500</v>
      </c>
      <c r="T360" s="82">
        <f t="shared" si="74"/>
        <v>0</v>
      </c>
      <c r="U360" s="82">
        <f t="shared" si="62"/>
        <v>1012500</v>
      </c>
      <c r="V360" s="42"/>
    </row>
    <row r="361" spans="1:22" s="47" customFormat="1" ht="20.25" customHeight="1">
      <c r="A361" s="118">
        <v>50</v>
      </c>
      <c r="B361" s="80" t="s">
        <v>46</v>
      </c>
      <c r="C361" s="345" t="s">
        <v>614</v>
      </c>
      <c r="D361" s="105" t="s">
        <v>1026</v>
      </c>
      <c r="E361" s="80" t="s">
        <v>384</v>
      </c>
      <c r="F361" s="80" t="s">
        <v>1138</v>
      </c>
      <c r="G361" s="66">
        <v>9</v>
      </c>
      <c r="H361" s="82">
        <v>500</v>
      </c>
      <c r="I361" s="82">
        <v>2</v>
      </c>
      <c r="J361" s="84" t="s">
        <v>62</v>
      </c>
      <c r="K361" s="86">
        <v>1</v>
      </c>
      <c r="L361" s="82">
        <v>0</v>
      </c>
      <c r="M361" s="82">
        <f>G361*H361*5/100</f>
        <v>225</v>
      </c>
      <c r="N361" s="82">
        <f>M361*0.15*7</f>
        <v>236.25</v>
      </c>
      <c r="O361" s="82">
        <f t="shared" si="80"/>
        <v>10867.5</v>
      </c>
      <c r="P361" s="82">
        <v>1</v>
      </c>
      <c r="Q361" s="82">
        <v>1</v>
      </c>
      <c r="R361" s="82">
        <f t="shared" si="73"/>
        <v>1012500</v>
      </c>
      <c r="S361" s="82">
        <f t="shared" si="72"/>
        <v>1012500</v>
      </c>
      <c r="T361" s="82">
        <f t="shared" si="74"/>
        <v>0</v>
      </c>
      <c r="U361" s="82">
        <f t="shared" si="62"/>
        <v>1012500</v>
      </c>
      <c r="V361" s="42"/>
    </row>
    <row r="362" spans="1:22" s="47" customFormat="1" ht="20.25" customHeight="1">
      <c r="A362" s="118">
        <v>51</v>
      </c>
      <c r="B362" s="80" t="s">
        <v>46</v>
      </c>
      <c r="C362" s="345" t="s">
        <v>615</v>
      </c>
      <c r="D362" s="105" t="s">
        <v>1026</v>
      </c>
      <c r="E362" s="80" t="s">
        <v>384</v>
      </c>
      <c r="F362" s="80" t="s">
        <v>1138</v>
      </c>
      <c r="G362" s="66">
        <v>9</v>
      </c>
      <c r="H362" s="82">
        <v>500</v>
      </c>
      <c r="I362" s="82">
        <v>2</v>
      </c>
      <c r="J362" s="84" t="s">
        <v>62</v>
      </c>
      <c r="K362" s="86">
        <v>1</v>
      </c>
      <c r="L362" s="82">
        <v>0</v>
      </c>
      <c r="M362" s="82">
        <f>G362*H362*5/100</f>
        <v>225</v>
      </c>
      <c r="N362" s="82">
        <f>M362*0.15*7</f>
        <v>236.25</v>
      </c>
      <c r="O362" s="82">
        <f t="shared" si="80"/>
        <v>10867.5</v>
      </c>
      <c r="P362" s="82">
        <v>1</v>
      </c>
      <c r="Q362" s="82">
        <v>1</v>
      </c>
      <c r="R362" s="82">
        <f t="shared" si="73"/>
        <v>1012500</v>
      </c>
      <c r="S362" s="82">
        <f t="shared" si="72"/>
        <v>1012500</v>
      </c>
      <c r="T362" s="82">
        <f t="shared" si="74"/>
        <v>0</v>
      </c>
      <c r="U362" s="82">
        <f t="shared" si="62"/>
        <v>1012500</v>
      </c>
      <c r="V362" s="42"/>
    </row>
    <row r="363" spans="1:22" s="47" customFormat="1" ht="20.25" customHeight="1">
      <c r="A363" s="118">
        <v>52</v>
      </c>
      <c r="B363" s="80" t="s">
        <v>46</v>
      </c>
      <c r="C363" s="345" t="s">
        <v>616</v>
      </c>
      <c r="D363" s="105" t="s">
        <v>1026</v>
      </c>
      <c r="E363" s="80" t="s">
        <v>384</v>
      </c>
      <c r="F363" s="80" t="s">
        <v>1138</v>
      </c>
      <c r="G363" s="66">
        <v>9</v>
      </c>
      <c r="H363" s="82">
        <v>500</v>
      </c>
      <c r="I363" s="82">
        <v>2</v>
      </c>
      <c r="J363" s="84" t="s">
        <v>62</v>
      </c>
      <c r="K363" s="86">
        <v>1</v>
      </c>
      <c r="L363" s="82">
        <v>0</v>
      </c>
      <c r="M363" s="82">
        <f>G363*H363*5/100</f>
        <v>225</v>
      </c>
      <c r="N363" s="82">
        <f>M363*0.15*7</f>
        <v>236.25</v>
      </c>
      <c r="O363" s="82">
        <f t="shared" si="80"/>
        <v>10867.5</v>
      </c>
      <c r="P363" s="82">
        <v>1</v>
      </c>
      <c r="Q363" s="82">
        <v>1</v>
      </c>
      <c r="R363" s="82">
        <f t="shared" si="73"/>
        <v>1012500</v>
      </c>
      <c r="S363" s="82">
        <f t="shared" si="72"/>
        <v>1012500</v>
      </c>
      <c r="T363" s="82">
        <f t="shared" si="74"/>
        <v>0</v>
      </c>
      <c r="U363" s="82">
        <f aca="true" t="shared" si="83" ref="U363:U427">S363+T363</f>
        <v>1012500</v>
      </c>
      <c r="V363" s="42"/>
    </row>
    <row r="364" spans="1:21" s="47" customFormat="1" ht="20.25" customHeight="1">
      <c r="A364" s="118">
        <v>53</v>
      </c>
      <c r="B364" s="80" t="s">
        <v>17</v>
      </c>
      <c r="C364" s="344" t="s">
        <v>617</v>
      </c>
      <c r="D364" s="261" t="s">
        <v>618</v>
      </c>
      <c r="E364" s="80" t="s">
        <v>386</v>
      </c>
      <c r="F364" s="80" t="s">
        <v>1138</v>
      </c>
      <c r="G364" s="66">
        <v>10</v>
      </c>
      <c r="H364" s="82">
        <v>175</v>
      </c>
      <c r="I364" s="82">
        <v>2</v>
      </c>
      <c r="J364" s="84" t="s">
        <v>993</v>
      </c>
      <c r="K364" s="86">
        <v>0</v>
      </c>
      <c r="L364" s="82">
        <v>1</v>
      </c>
      <c r="M364" s="82">
        <f>G364*H364*5/100</f>
        <v>87.5</v>
      </c>
      <c r="N364" s="82">
        <f>M364*0.15*7</f>
        <v>91.875</v>
      </c>
      <c r="O364" s="82">
        <f t="shared" si="80"/>
        <v>4226.25</v>
      </c>
      <c r="P364" s="82">
        <v>1</v>
      </c>
      <c r="Q364" s="82">
        <v>1</v>
      </c>
      <c r="R364" s="82">
        <f t="shared" si="73"/>
        <v>1012500</v>
      </c>
      <c r="S364" s="82">
        <f t="shared" si="72"/>
        <v>0</v>
      </c>
      <c r="T364" s="82">
        <f t="shared" si="74"/>
        <v>1012500</v>
      </c>
      <c r="U364" s="82">
        <f t="shared" si="83"/>
        <v>1012500</v>
      </c>
    </row>
    <row r="365" spans="1:22" s="47" customFormat="1" ht="20.25" customHeight="1">
      <c r="A365" s="118">
        <v>54</v>
      </c>
      <c r="B365" s="80" t="s">
        <v>17</v>
      </c>
      <c r="C365" s="344" t="s">
        <v>619</v>
      </c>
      <c r="D365" s="262" t="s">
        <v>620</v>
      </c>
      <c r="E365" s="80" t="s">
        <v>495</v>
      </c>
      <c r="F365" s="80" t="s">
        <v>1138</v>
      </c>
      <c r="G365" s="66">
        <v>6</v>
      </c>
      <c r="H365" s="82">
        <v>900</v>
      </c>
      <c r="I365" s="82">
        <v>1</v>
      </c>
      <c r="J365" s="84" t="s">
        <v>62</v>
      </c>
      <c r="K365" s="86">
        <v>1</v>
      </c>
      <c r="L365" s="134">
        <v>0</v>
      </c>
      <c r="M365" s="82">
        <f>G365*H365/5</f>
        <v>1080</v>
      </c>
      <c r="N365" s="82">
        <f>M365*0.15*5.5</f>
        <v>891</v>
      </c>
      <c r="O365" s="82">
        <f>M365*6.6*5.5+N365*2</f>
        <v>40986</v>
      </c>
      <c r="P365" s="82">
        <v>1</v>
      </c>
      <c r="Q365" s="82">
        <v>1</v>
      </c>
      <c r="R365" s="82">
        <f t="shared" si="73"/>
        <v>1012500</v>
      </c>
      <c r="S365" s="82">
        <f t="shared" si="72"/>
        <v>1012500</v>
      </c>
      <c r="T365" s="82">
        <f t="shared" si="74"/>
        <v>0</v>
      </c>
      <c r="U365" s="82">
        <f t="shared" si="83"/>
        <v>1012500</v>
      </c>
      <c r="V365" s="42"/>
    </row>
    <row r="366" spans="1:22" s="47" customFormat="1" ht="20.25" customHeight="1">
      <c r="A366" s="118">
        <v>55</v>
      </c>
      <c r="B366" s="80" t="s">
        <v>17</v>
      </c>
      <c r="C366" s="344" t="s">
        <v>621</v>
      </c>
      <c r="D366" s="261" t="s">
        <v>622</v>
      </c>
      <c r="E366" s="80" t="s">
        <v>378</v>
      </c>
      <c r="F366" s="80" t="s">
        <v>1138</v>
      </c>
      <c r="G366" s="66">
        <v>8</v>
      </c>
      <c r="H366" s="82">
        <v>800</v>
      </c>
      <c r="I366" s="82">
        <v>2</v>
      </c>
      <c r="J366" s="84" t="s">
        <v>62</v>
      </c>
      <c r="K366" s="86">
        <v>1</v>
      </c>
      <c r="L366" s="134">
        <v>0</v>
      </c>
      <c r="M366" s="82">
        <f>G366*H366/5</f>
        <v>1280</v>
      </c>
      <c r="N366" s="82">
        <f>M366*0.15*5.5</f>
        <v>1056</v>
      </c>
      <c r="O366" s="82">
        <f>M366*6.6*5.5+N366*2</f>
        <v>48576</v>
      </c>
      <c r="P366" s="82">
        <v>1</v>
      </c>
      <c r="Q366" s="82">
        <v>1</v>
      </c>
      <c r="R366" s="82">
        <f t="shared" si="73"/>
        <v>1012500</v>
      </c>
      <c r="S366" s="82">
        <f t="shared" si="72"/>
        <v>1012500</v>
      </c>
      <c r="T366" s="82">
        <f t="shared" si="74"/>
        <v>0</v>
      </c>
      <c r="U366" s="82">
        <f t="shared" si="83"/>
        <v>1012500</v>
      </c>
      <c r="V366" s="42"/>
    </row>
    <row r="367" spans="1:22" s="47" customFormat="1" ht="20.25" customHeight="1">
      <c r="A367" s="118">
        <v>56</v>
      </c>
      <c r="B367" s="80" t="s">
        <v>100</v>
      </c>
      <c r="C367" s="344" t="s">
        <v>623</v>
      </c>
      <c r="D367" s="261" t="s">
        <v>580</v>
      </c>
      <c r="E367" s="80" t="s">
        <v>374</v>
      </c>
      <c r="F367" s="80" t="s">
        <v>1138</v>
      </c>
      <c r="G367" s="66">
        <v>19</v>
      </c>
      <c r="H367" s="82">
        <v>1200</v>
      </c>
      <c r="I367" s="82">
        <v>4</v>
      </c>
      <c r="J367" s="84" t="s">
        <v>62</v>
      </c>
      <c r="K367" s="86">
        <v>1</v>
      </c>
      <c r="L367" s="134">
        <v>0</v>
      </c>
      <c r="M367" s="82">
        <f>G367*H367/5</f>
        <v>4560</v>
      </c>
      <c r="N367" s="82">
        <f>M367*0.15*5.5</f>
        <v>3762</v>
      </c>
      <c r="O367" s="82">
        <f>M367*6.6*5.5+N367*2</f>
        <v>173052</v>
      </c>
      <c r="P367" s="82">
        <v>1</v>
      </c>
      <c r="Q367" s="82">
        <v>1</v>
      </c>
      <c r="R367" s="82">
        <f t="shared" si="73"/>
        <v>1012500</v>
      </c>
      <c r="S367" s="82">
        <f t="shared" si="72"/>
        <v>1012500</v>
      </c>
      <c r="T367" s="82">
        <f t="shared" si="74"/>
        <v>0</v>
      </c>
      <c r="U367" s="82">
        <f t="shared" si="83"/>
        <v>1012500</v>
      </c>
      <c r="V367" s="42"/>
    </row>
    <row r="368" spans="1:21" s="47" customFormat="1" ht="20.25" customHeight="1">
      <c r="A368" s="118">
        <v>57</v>
      </c>
      <c r="B368" s="80" t="s">
        <v>46</v>
      </c>
      <c r="C368" s="344" t="s">
        <v>1444</v>
      </c>
      <c r="D368" s="105" t="s">
        <v>583</v>
      </c>
      <c r="E368" s="80" t="s">
        <v>374</v>
      </c>
      <c r="F368" s="80" t="s">
        <v>1138</v>
      </c>
      <c r="G368" s="66">
        <v>10</v>
      </c>
      <c r="H368" s="82">
        <v>800</v>
      </c>
      <c r="I368" s="82">
        <v>2</v>
      </c>
      <c r="J368" s="84" t="s">
        <v>40</v>
      </c>
      <c r="K368" s="86">
        <v>1</v>
      </c>
      <c r="L368" s="82"/>
      <c r="M368" s="82">
        <f>(6*H368/5)+(13*H368*5/100)</f>
        <v>1480</v>
      </c>
      <c r="N368" s="82">
        <f>(6*H368/5*0.15*5.5)+(13*H368*5/100*0.15*7)</f>
        <v>1338</v>
      </c>
      <c r="O368" s="82">
        <f>((H368*6/5*6.6*5.5)+(H368*6/5*5.5*0.15*2))+((H368*13*5/100*6.6*7)+(H368*13*5/100*0.15*7*2))</f>
        <v>61548</v>
      </c>
      <c r="P368" s="82">
        <v>1</v>
      </c>
      <c r="Q368" s="82">
        <v>1</v>
      </c>
      <c r="R368" s="82">
        <f t="shared" si="73"/>
        <v>1012500</v>
      </c>
      <c r="S368" s="82">
        <f t="shared" si="72"/>
        <v>1012500</v>
      </c>
      <c r="T368" s="82">
        <f t="shared" si="74"/>
        <v>0</v>
      </c>
      <c r="U368" s="82">
        <f t="shared" si="83"/>
        <v>1012500</v>
      </c>
    </row>
    <row r="369" spans="1:21" s="47" customFormat="1" ht="20.25" customHeight="1">
      <c r="A369" s="118">
        <v>58</v>
      </c>
      <c r="B369" s="80" t="s">
        <v>46</v>
      </c>
      <c r="C369" s="344" t="s">
        <v>812</v>
      </c>
      <c r="D369" s="261" t="s">
        <v>813</v>
      </c>
      <c r="E369" s="80" t="s">
        <v>396</v>
      </c>
      <c r="F369" s="80" t="s">
        <v>1138</v>
      </c>
      <c r="G369" s="66">
        <v>14</v>
      </c>
      <c r="H369" s="82">
        <v>1000</v>
      </c>
      <c r="I369" s="82">
        <v>2</v>
      </c>
      <c r="J369" s="84" t="s">
        <v>993</v>
      </c>
      <c r="K369" s="86">
        <v>0</v>
      </c>
      <c r="L369" s="82">
        <v>1</v>
      </c>
      <c r="M369" s="82">
        <f aca="true" t="shared" si="84" ref="M369:M397">G369*H369*5/100</f>
        <v>700</v>
      </c>
      <c r="N369" s="82">
        <f>M369*0.15*7</f>
        <v>735</v>
      </c>
      <c r="O369" s="82">
        <f t="shared" si="80"/>
        <v>33810</v>
      </c>
      <c r="P369" s="82">
        <v>1</v>
      </c>
      <c r="Q369" s="82">
        <v>1</v>
      </c>
      <c r="R369" s="82">
        <f t="shared" si="73"/>
        <v>1012500</v>
      </c>
      <c r="S369" s="82">
        <f t="shared" si="72"/>
        <v>0</v>
      </c>
      <c r="T369" s="82">
        <f t="shared" si="74"/>
        <v>1012500</v>
      </c>
      <c r="U369" s="82">
        <f t="shared" si="83"/>
        <v>1012500</v>
      </c>
    </row>
    <row r="370" spans="1:21" s="47" customFormat="1" ht="20.25" customHeight="1">
      <c r="A370" s="118">
        <v>59</v>
      </c>
      <c r="B370" s="80" t="s">
        <v>46</v>
      </c>
      <c r="C370" s="344" t="s">
        <v>814</v>
      </c>
      <c r="D370" s="261" t="s">
        <v>813</v>
      </c>
      <c r="E370" s="80" t="s">
        <v>396</v>
      </c>
      <c r="F370" s="80" t="s">
        <v>1138</v>
      </c>
      <c r="G370" s="66">
        <v>14</v>
      </c>
      <c r="H370" s="82">
        <v>1000</v>
      </c>
      <c r="I370" s="82">
        <v>2</v>
      </c>
      <c r="J370" s="84" t="s">
        <v>993</v>
      </c>
      <c r="K370" s="86">
        <v>0</v>
      </c>
      <c r="L370" s="82">
        <v>1</v>
      </c>
      <c r="M370" s="82">
        <f t="shared" si="84"/>
        <v>700</v>
      </c>
      <c r="N370" s="82">
        <f aca="true" t="shared" si="85" ref="N370:N397">M370*0.15*7</f>
        <v>735</v>
      </c>
      <c r="O370" s="82">
        <f t="shared" si="80"/>
        <v>33810</v>
      </c>
      <c r="P370" s="82">
        <v>1</v>
      </c>
      <c r="Q370" s="82">
        <v>1</v>
      </c>
      <c r="R370" s="82">
        <f t="shared" si="73"/>
        <v>1012500</v>
      </c>
      <c r="S370" s="82">
        <f t="shared" si="72"/>
        <v>0</v>
      </c>
      <c r="T370" s="82">
        <f t="shared" si="74"/>
        <v>1012500</v>
      </c>
      <c r="U370" s="82">
        <f t="shared" si="83"/>
        <v>1012500</v>
      </c>
    </row>
    <row r="371" spans="1:21" s="47" customFormat="1" ht="20.25" customHeight="1">
      <c r="A371" s="118">
        <v>60</v>
      </c>
      <c r="B371" s="80" t="s">
        <v>46</v>
      </c>
      <c r="C371" s="344" t="s">
        <v>818</v>
      </c>
      <c r="D371" s="261" t="s">
        <v>813</v>
      </c>
      <c r="E371" s="80" t="s">
        <v>396</v>
      </c>
      <c r="F371" s="80" t="s">
        <v>1138</v>
      </c>
      <c r="G371" s="66">
        <v>12</v>
      </c>
      <c r="H371" s="82">
        <v>1000</v>
      </c>
      <c r="I371" s="82">
        <v>2</v>
      </c>
      <c r="J371" s="84" t="s">
        <v>993</v>
      </c>
      <c r="K371" s="86">
        <v>0</v>
      </c>
      <c r="L371" s="82">
        <v>1</v>
      </c>
      <c r="M371" s="82">
        <f t="shared" si="84"/>
        <v>600</v>
      </c>
      <c r="N371" s="82">
        <f t="shared" si="85"/>
        <v>630</v>
      </c>
      <c r="O371" s="82">
        <f t="shared" si="80"/>
        <v>28980</v>
      </c>
      <c r="P371" s="82">
        <v>1</v>
      </c>
      <c r="Q371" s="82">
        <v>1</v>
      </c>
      <c r="R371" s="82">
        <f t="shared" si="73"/>
        <v>1012500</v>
      </c>
      <c r="S371" s="82">
        <f t="shared" si="72"/>
        <v>0</v>
      </c>
      <c r="T371" s="82">
        <f t="shared" si="74"/>
        <v>1012500</v>
      </c>
      <c r="U371" s="82">
        <f t="shared" si="83"/>
        <v>1012500</v>
      </c>
    </row>
    <row r="372" spans="1:21" s="47" customFormat="1" ht="20.25" customHeight="1">
      <c r="A372" s="118">
        <v>61</v>
      </c>
      <c r="B372" s="80" t="s">
        <v>46</v>
      </c>
      <c r="C372" s="344" t="s">
        <v>819</v>
      </c>
      <c r="D372" s="261" t="s">
        <v>813</v>
      </c>
      <c r="E372" s="80" t="s">
        <v>396</v>
      </c>
      <c r="F372" s="80" t="s">
        <v>1138</v>
      </c>
      <c r="G372" s="66">
        <v>12</v>
      </c>
      <c r="H372" s="82">
        <v>1000</v>
      </c>
      <c r="I372" s="82">
        <v>2</v>
      </c>
      <c r="J372" s="84" t="s">
        <v>993</v>
      </c>
      <c r="K372" s="86">
        <v>0</v>
      </c>
      <c r="L372" s="82">
        <v>1</v>
      </c>
      <c r="M372" s="82">
        <f t="shared" si="84"/>
        <v>600</v>
      </c>
      <c r="N372" s="82">
        <f t="shared" si="85"/>
        <v>630</v>
      </c>
      <c r="O372" s="82">
        <f t="shared" si="80"/>
        <v>28980</v>
      </c>
      <c r="P372" s="82">
        <v>1</v>
      </c>
      <c r="Q372" s="82">
        <v>1</v>
      </c>
      <c r="R372" s="82">
        <f t="shared" si="73"/>
        <v>1012500</v>
      </c>
      <c r="S372" s="82">
        <f t="shared" si="72"/>
        <v>0</v>
      </c>
      <c r="T372" s="82">
        <f t="shared" si="74"/>
        <v>1012500</v>
      </c>
      <c r="U372" s="82">
        <f t="shared" si="83"/>
        <v>1012500</v>
      </c>
    </row>
    <row r="373" spans="1:21" s="47" customFormat="1" ht="20.25" customHeight="1">
      <c r="A373" s="118">
        <v>62</v>
      </c>
      <c r="B373" s="80" t="s">
        <v>46</v>
      </c>
      <c r="C373" s="344" t="s">
        <v>821</v>
      </c>
      <c r="D373" s="261" t="s">
        <v>813</v>
      </c>
      <c r="E373" s="80" t="s">
        <v>396</v>
      </c>
      <c r="F373" s="80" t="s">
        <v>1138</v>
      </c>
      <c r="G373" s="66">
        <v>12</v>
      </c>
      <c r="H373" s="82">
        <v>1000</v>
      </c>
      <c r="I373" s="82">
        <v>2</v>
      </c>
      <c r="J373" s="84" t="s">
        <v>993</v>
      </c>
      <c r="K373" s="86">
        <v>0</v>
      </c>
      <c r="L373" s="82">
        <v>1</v>
      </c>
      <c r="M373" s="82">
        <f t="shared" si="84"/>
        <v>600</v>
      </c>
      <c r="N373" s="82">
        <f t="shared" si="85"/>
        <v>630</v>
      </c>
      <c r="O373" s="82">
        <f t="shared" si="80"/>
        <v>28980</v>
      </c>
      <c r="P373" s="82">
        <v>1</v>
      </c>
      <c r="Q373" s="82">
        <v>1</v>
      </c>
      <c r="R373" s="82">
        <f t="shared" si="73"/>
        <v>1012500</v>
      </c>
      <c r="S373" s="82">
        <f t="shared" si="72"/>
        <v>0</v>
      </c>
      <c r="T373" s="82">
        <f t="shared" si="74"/>
        <v>1012500</v>
      </c>
      <c r="U373" s="82">
        <f t="shared" si="83"/>
        <v>1012500</v>
      </c>
    </row>
    <row r="374" spans="1:21" s="47" customFormat="1" ht="20.25" customHeight="1">
      <c r="A374" s="118">
        <v>63</v>
      </c>
      <c r="B374" s="80" t="s">
        <v>46</v>
      </c>
      <c r="C374" s="344" t="s">
        <v>825</v>
      </c>
      <c r="D374" s="261" t="s">
        <v>813</v>
      </c>
      <c r="E374" s="80" t="s">
        <v>396</v>
      </c>
      <c r="F374" s="80" t="s">
        <v>1138</v>
      </c>
      <c r="G374" s="66">
        <v>12</v>
      </c>
      <c r="H374" s="82">
        <v>1000</v>
      </c>
      <c r="I374" s="82">
        <v>2</v>
      </c>
      <c r="J374" s="84" t="s">
        <v>993</v>
      </c>
      <c r="K374" s="86">
        <v>0</v>
      </c>
      <c r="L374" s="82">
        <v>1</v>
      </c>
      <c r="M374" s="82">
        <f t="shared" si="84"/>
        <v>600</v>
      </c>
      <c r="N374" s="82">
        <f t="shared" si="85"/>
        <v>630</v>
      </c>
      <c r="O374" s="82">
        <f t="shared" si="80"/>
        <v>28980</v>
      </c>
      <c r="P374" s="82">
        <v>1</v>
      </c>
      <c r="Q374" s="82">
        <v>1</v>
      </c>
      <c r="R374" s="82">
        <f t="shared" si="73"/>
        <v>1012500</v>
      </c>
      <c r="S374" s="82">
        <f t="shared" si="72"/>
        <v>0</v>
      </c>
      <c r="T374" s="82">
        <f t="shared" si="74"/>
        <v>1012500</v>
      </c>
      <c r="U374" s="82">
        <f t="shared" si="83"/>
        <v>1012500</v>
      </c>
    </row>
    <row r="375" spans="1:21" s="47" customFormat="1" ht="20.25" customHeight="1">
      <c r="A375" s="118">
        <v>64</v>
      </c>
      <c r="B375" s="80" t="s">
        <v>46</v>
      </c>
      <c r="C375" s="344" t="s">
        <v>827</v>
      </c>
      <c r="D375" s="261" t="s">
        <v>813</v>
      </c>
      <c r="E375" s="80" t="s">
        <v>396</v>
      </c>
      <c r="F375" s="80" t="s">
        <v>1138</v>
      </c>
      <c r="G375" s="66">
        <v>12</v>
      </c>
      <c r="H375" s="82">
        <v>1000</v>
      </c>
      <c r="I375" s="82">
        <v>2</v>
      </c>
      <c r="J375" s="84" t="s">
        <v>993</v>
      </c>
      <c r="K375" s="86">
        <v>0</v>
      </c>
      <c r="L375" s="82">
        <v>1</v>
      </c>
      <c r="M375" s="82">
        <f t="shared" si="84"/>
        <v>600</v>
      </c>
      <c r="N375" s="82">
        <f t="shared" si="85"/>
        <v>630</v>
      </c>
      <c r="O375" s="82">
        <f t="shared" si="80"/>
        <v>28980</v>
      </c>
      <c r="P375" s="82">
        <v>1</v>
      </c>
      <c r="Q375" s="82">
        <v>1</v>
      </c>
      <c r="R375" s="82">
        <f t="shared" si="73"/>
        <v>1012500</v>
      </c>
      <c r="S375" s="82">
        <f t="shared" si="72"/>
        <v>0</v>
      </c>
      <c r="T375" s="82">
        <f t="shared" si="74"/>
        <v>1012500</v>
      </c>
      <c r="U375" s="82">
        <f t="shared" si="83"/>
        <v>1012500</v>
      </c>
    </row>
    <row r="376" spans="1:21" s="47" customFormat="1" ht="20.25" customHeight="1">
      <c r="A376" s="118">
        <v>65</v>
      </c>
      <c r="B376" s="80" t="s">
        <v>46</v>
      </c>
      <c r="C376" s="344" t="s">
        <v>832</v>
      </c>
      <c r="D376" s="261" t="s">
        <v>813</v>
      </c>
      <c r="E376" s="80" t="s">
        <v>396</v>
      </c>
      <c r="F376" s="80" t="s">
        <v>1138</v>
      </c>
      <c r="G376" s="66">
        <v>14</v>
      </c>
      <c r="H376" s="82">
        <v>1000</v>
      </c>
      <c r="I376" s="82">
        <v>2</v>
      </c>
      <c r="J376" s="84" t="s">
        <v>993</v>
      </c>
      <c r="K376" s="86">
        <v>0</v>
      </c>
      <c r="L376" s="82">
        <v>1</v>
      </c>
      <c r="M376" s="82">
        <f t="shared" si="84"/>
        <v>700</v>
      </c>
      <c r="N376" s="82">
        <f t="shared" si="85"/>
        <v>735</v>
      </c>
      <c r="O376" s="82">
        <f t="shared" si="80"/>
        <v>33810</v>
      </c>
      <c r="P376" s="82">
        <v>1</v>
      </c>
      <c r="Q376" s="82">
        <v>1</v>
      </c>
      <c r="R376" s="82">
        <f t="shared" si="73"/>
        <v>1012500</v>
      </c>
      <c r="S376" s="82">
        <f aca="true" t="shared" si="86" ref="S376:S406">R376*Q376*P376*K376</f>
        <v>0</v>
      </c>
      <c r="T376" s="82">
        <f t="shared" si="74"/>
        <v>1012500</v>
      </c>
      <c r="U376" s="82">
        <f t="shared" si="83"/>
        <v>1012500</v>
      </c>
    </row>
    <row r="377" spans="1:21" s="47" customFormat="1" ht="20.25" customHeight="1">
      <c r="A377" s="118">
        <v>66</v>
      </c>
      <c r="B377" s="80" t="s">
        <v>46</v>
      </c>
      <c r="C377" s="344" t="s">
        <v>833</v>
      </c>
      <c r="D377" s="261" t="s">
        <v>813</v>
      </c>
      <c r="E377" s="80" t="s">
        <v>396</v>
      </c>
      <c r="F377" s="80" t="s">
        <v>1138</v>
      </c>
      <c r="G377" s="66">
        <v>14</v>
      </c>
      <c r="H377" s="82">
        <v>1000</v>
      </c>
      <c r="I377" s="82">
        <v>2</v>
      </c>
      <c r="J377" s="84" t="s">
        <v>993</v>
      </c>
      <c r="K377" s="86">
        <v>0</v>
      </c>
      <c r="L377" s="82">
        <v>1</v>
      </c>
      <c r="M377" s="82">
        <f t="shared" si="84"/>
        <v>700</v>
      </c>
      <c r="N377" s="82">
        <f t="shared" si="85"/>
        <v>735</v>
      </c>
      <c r="O377" s="82">
        <f t="shared" si="80"/>
        <v>33810</v>
      </c>
      <c r="P377" s="82">
        <v>1</v>
      </c>
      <c r="Q377" s="82">
        <v>1</v>
      </c>
      <c r="R377" s="82">
        <f aca="true" t="shared" si="87" ref="R377:R441">45*$R$2</f>
        <v>1012500</v>
      </c>
      <c r="S377" s="82">
        <f t="shared" si="86"/>
        <v>0</v>
      </c>
      <c r="T377" s="82">
        <f aca="true" t="shared" si="88" ref="T377:T441">L377*P377*Q377*R377</f>
        <v>1012500</v>
      </c>
      <c r="U377" s="82">
        <f t="shared" si="83"/>
        <v>1012500</v>
      </c>
    </row>
    <row r="378" spans="1:21" s="47" customFormat="1" ht="20.25" customHeight="1">
      <c r="A378" s="118">
        <v>67</v>
      </c>
      <c r="B378" s="80" t="s">
        <v>46</v>
      </c>
      <c r="C378" s="344" t="s">
        <v>834</v>
      </c>
      <c r="D378" s="261" t="s">
        <v>813</v>
      </c>
      <c r="E378" s="80" t="s">
        <v>396</v>
      </c>
      <c r="F378" s="80" t="s">
        <v>1138</v>
      </c>
      <c r="G378" s="66">
        <v>14</v>
      </c>
      <c r="H378" s="82">
        <v>1000</v>
      </c>
      <c r="I378" s="82">
        <v>2</v>
      </c>
      <c r="J378" s="84" t="s">
        <v>993</v>
      </c>
      <c r="K378" s="86">
        <v>0</v>
      </c>
      <c r="L378" s="82">
        <v>1</v>
      </c>
      <c r="M378" s="82">
        <f t="shared" si="84"/>
        <v>700</v>
      </c>
      <c r="N378" s="82">
        <f t="shared" si="85"/>
        <v>735</v>
      </c>
      <c r="O378" s="82">
        <f t="shared" si="80"/>
        <v>33810</v>
      </c>
      <c r="P378" s="82">
        <v>1</v>
      </c>
      <c r="Q378" s="82">
        <v>1</v>
      </c>
      <c r="R378" s="82">
        <f t="shared" si="87"/>
        <v>1012500</v>
      </c>
      <c r="S378" s="82">
        <f t="shared" si="86"/>
        <v>0</v>
      </c>
      <c r="T378" s="82">
        <f t="shared" si="88"/>
        <v>1012500</v>
      </c>
      <c r="U378" s="82">
        <f t="shared" si="83"/>
        <v>1012500</v>
      </c>
    </row>
    <row r="379" spans="1:21" s="47" customFormat="1" ht="20.25" customHeight="1">
      <c r="A379" s="118">
        <v>68</v>
      </c>
      <c r="B379" s="80" t="s">
        <v>46</v>
      </c>
      <c r="C379" s="344" t="s">
        <v>835</v>
      </c>
      <c r="D379" s="261" t="s">
        <v>813</v>
      </c>
      <c r="E379" s="80" t="s">
        <v>396</v>
      </c>
      <c r="F379" s="80" t="s">
        <v>1138</v>
      </c>
      <c r="G379" s="66">
        <v>14</v>
      </c>
      <c r="H379" s="82">
        <v>1000</v>
      </c>
      <c r="I379" s="82">
        <v>2</v>
      </c>
      <c r="J379" s="84" t="s">
        <v>993</v>
      </c>
      <c r="K379" s="86">
        <v>0</v>
      </c>
      <c r="L379" s="82">
        <v>1</v>
      </c>
      <c r="M379" s="82">
        <f t="shared" si="84"/>
        <v>700</v>
      </c>
      <c r="N379" s="82">
        <f t="shared" si="85"/>
        <v>735</v>
      </c>
      <c r="O379" s="82">
        <f t="shared" si="80"/>
        <v>33810</v>
      </c>
      <c r="P379" s="82">
        <v>1</v>
      </c>
      <c r="Q379" s="82">
        <v>1</v>
      </c>
      <c r="R379" s="82">
        <f t="shared" si="87"/>
        <v>1012500</v>
      </c>
      <c r="S379" s="82">
        <f t="shared" si="86"/>
        <v>0</v>
      </c>
      <c r="T379" s="82">
        <f t="shared" si="88"/>
        <v>1012500</v>
      </c>
      <c r="U379" s="82">
        <f t="shared" si="83"/>
        <v>1012500</v>
      </c>
    </row>
    <row r="380" spans="1:22" s="47" customFormat="1" ht="20.25" customHeight="1">
      <c r="A380" s="118">
        <v>69</v>
      </c>
      <c r="B380" s="80" t="s">
        <v>46</v>
      </c>
      <c r="C380" s="345" t="s">
        <v>624</v>
      </c>
      <c r="D380" s="262" t="s">
        <v>625</v>
      </c>
      <c r="E380" s="80" t="s">
        <v>374</v>
      </c>
      <c r="F380" s="80" t="s">
        <v>1138</v>
      </c>
      <c r="G380" s="66">
        <v>15</v>
      </c>
      <c r="H380" s="82">
        <v>1000</v>
      </c>
      <c r="I380" s="82">
        <v>2</v>
      </c>
      <c r="J380" s="84" t="s">
        <v>40</v>
      </c>
      <c r="K380" s="86">
        <v>1</v>
      </c>
      <c r="L380" s="82">
        <v>0</v>
      </c>
      <c r="M380" s="82">
        <f t="shared" si="84"/>
        <v>750</v>
      </c>
      <c r="N380" s="82">
        <f t="shared" si="85"/>
        <v>787.5</v>
      </c>
      <c r="O380" s="82">
        <f t="shared" si="80"/>
        <v>36225</v>
      </c>
      <c r="P380" s="82">
        <v>1</v>
      </c>
      <c r="Q380" s="82">
        <v>1</v>
      </c>
      <c r="R380" s="82">
        <f t="shared" si="87"/>
        <v>1012500</v>
      </c>
      <c r="S380" s="82">
        <f t="shared" si="86"/>
        <v>1012500</v>
      </c>
      <c r="T380" s="82">
        <f t="shared" si="88"/>
        <v>0</v>
      </c>
      <c r="U380" s="82">
        <f t="shared" si="83"/>
        <v>1012500</v>
      </c>
      <c r="V380" s="42"/>
    </row>
    <row r="381" spans="1:22" s="47" customFormat="1" ht="20.25" customHeight="1">
      <c r="A381" s="118">
        <v>70</v>
      </c>
      <c r="B381" s="80" t="s">
        <v>46</v>
      </c>
      <c r="C381" s="345" t="s">
        <v>626</v>
      </c>
      <c r="D381" s="262" t="s">
        <v>625</v>
      </c>
      <c r="E381" s="80" t="s">
        <v>374</v>
      </c>
      <c r="F381" s="80" t="s">
        <v>1138</v>
      </c>
      <c r="G381" s="66">
        <v>15</v>
      </c>
      <c r="H381" s="82">
        <v>1000</v>
      </c>
      <c r="I381" s="82">
        <v>2</v>
      </c>
      <c r="J381" s="84" t="s">
        <v>40</v>
      </c>
      <c r="K381" s="86">
        <v>1</v>
      </c>
      <c r="L381" s="82">
        <v>0</v>
      </c>
      <c r="M381" s="82">
        <f t="shared" si="84"/>
        <v>750</v>
      </c>
      <c r="N381" s="82">
        <f t="shared" si="85"/>
        <v>787.5</v>
      </c>
      <c r="O381" s="82">
        <f t="shared" si="80"/>
        <v>36225</v>
      </c>
      <c r="P381" s="82">
        <v>1</v>
      </c>
      <c r="Q381" s="82">
        <v>1</v>
      </c>
      <c r="R381" s="82">
        <f t="shared" si="87"/>
        <v>1012500</v>
      </c>
      <c r="S381" s="82">
        <f t="shared" si="86"/>
        <v>1012500</v>
      </c>
      <c r="T381" s="82">
        <f t="shared" si="88"/>
        <v>0</v>
      </c>
      <c r="U381" s="82">
        <f t="shared" si="83"/>
        <v>1012500</v>
      </c>
      <c r="V381" s="42"/>
    </row>
    <row r="382" spans="1:21" s="47" customFormat="1" ht="20.25" customHeight="1">
      <c r="A382" s="118">
        <v>71</v>
      </c>
      <c r="B382" s="80" t="s">
        <v>46</v>
      </c>
      <c r="C382" s="344" t="s">
        <v>627</v>
      </c>
      <c r="D382" s="261" t="s">
        <v>628</v>
      </c>
      <c r="E382" s="80" t="s">
        <v>439</v>
      </c>
      <c r="F382" s="80" t="s">
        <v>1138</v>
      </c>
      <c r="G382" s="66">
        <v>14</v>
      </c>
      <c r="H382" s="82">
        <v>1000</v>
      </c>
      <c r="I382" s="82">
        <v>2</v>
      </c>
      <c r="J382" s="84" t="s">
        <v>993</v>
      </c>
      <c r="K382" s="86">
        <v>0</v>
      </c>
      <c r="L382" s="82">
        <v>1</v>
      </c>
      <c r="M382" s="82">
        <f t="shared" si="84"/>
        <v>700</v>
      </c>
      <c r="N382" s="82">
        <f t="shared" si="85"/>
        <v>735</v>
      </c>
      <c r="O382" s="82">
        <f t="shared" si="80"/>
        <v>33810</v>
      </c>
      <c r="P382" s="82">
        <v>1</v>
      </c>
      <c r="Q382" s="82">
        <v>1</v>
      </c>
      <c r="R382" s="82">
        <f t="shared" si="87"/>
        <v>1012500</v>
      </c>
      <c r="S382" s="82">
        <f t="shared" si="86"/>
        <v>0</v>
      </c>
      <c r="T382" s="82">
        <f t="shared" si="88"/>
        <v>1012500</v>
      </c>
      <c r="U382" s="82">
        <f t="shared" si="83"/>
        <v>1012500</v>
      </c>
    </row>
    <row r="383" spans="1:21" s="47" customFormat="1" ht="20.25" customHeight="1">
      <c r="A383" s="118">
        <v>72</v>
      </c>
      <c r="B383" s="80" t="s">
        <v>46</v>
      </c>
      <c r="C383" s="344" t="s">
        <v>629</v>
      </c>
      <c r="D383" s="261" t="s">
        <v>628</v>
      </c>
      <c r="E383" s="80" t="s">
        <v>439</v>
      </c>
      <c r="F383" s="80" t="s">
        <v>1138</v>
      </c>
      <c r="G383" s="66">
        <v>14</v>
      </c>
      <c r="H383" s="82">
        <v>800</v>
      </c>
      <c r="I383" s="82">
        <v>2</v>
      </c>
      <c r="J383" s="84" t="s">
        <v>993</v>
      </c>
      <c r="K383" s="86">
        <v>0</v>
      </c>
      <c r="L383" s="82">
        <v>1</v>
      </c>
      <c r="M383" s="82">
        <f t="shared" si="84"/>
        <v>560</v>
      </c>
      <c r="N383" s="82">
        <f t="shared" si="85"/>
        <v>588</v>
      </c>
      <c r="O383" s="82">
        <f t="shared" si="80"/>
        <v>27048</v>
      </c>
      <c r="P383" s="82">
        <v>1</v>
      </c>
      <c r="Q383" s="82">
        <v>1</v>
      </c>
      <c r="R383" s="82">
        <f t="shared" si="87"/>
        <v>1012500</v>
      </c>
      <c r="S383" s="82">
        <f t="shared" si="86"/>
        <v>0</v>
      </c>
      <c r="T383" s="82">
        <f t="shared" si="88"/>
        <v>1012500</v>
      </c>
      <c r="U383" s="82">
        <f t="shared" si="83"/>
        <v>1012500</v>
      </c>
    </row>
    <row r="384" spans="1:21" s="47" customFormat="1" ht="20.25" customHeight="1">
      <c r="A384" s="118">
        <v>73</v>
      </c>
      <c r="B384" s="80" t="s">
        <v>46</v>
      </c>
      <c r="C384" s="344" t="s">
        <v>630</v>
      </c>
      <c r="D384" s="261" t="s">
        <v>628</v>
      </c>
      <c r="E384" s="80" t="s">
        <v>439</v>
      </c>
      <c r="F384" s="80" t="s">
        <v>1138</v>
      </c>
      <c r="G384" s="66">
        <v>14</v>
      </c>
      <c r="H384" s="82">
        <v>800</v>
      </c>
      <c r="I384" s="82">
        <v>2</v>
      </c>
      <c r="J384" s="84" t="s">
        <v>993</v>
      </c>
      <c r="K384" s="86">
        <v>0</v>
      </c>
      <c r="L384" s="82">
        <v>1</v>
      </c>
      <c r="M384" s="82">
        <f t="shared" si="84"/>
        <v>560</v>
      </c>
      <c r="N384" s="82">
        <f t="shared" si="85"/>
        <v>588</v>
      </c>
      <c r="O384" s="82">
        <f t="shared" si="80"/>
        <v>27048</v>
      </c>
      <c r="P384" s="82">
        <v>1</v>
      </c>
      <c r="Q384" s="82">
        <v>1</v>
      </c>
      <c r="R384" s="82">
        <f t="shared" si="87"/>
        <v>1012500</v>
      </c>
      <c r="S384" s="82">
        <f t="shared" si="86"/>
        <v>0</v>
      </c>
      <c r="T384" s="82">
        <f t="shared" si="88"/>
        <v>1012500</v>
      </c>
      <c r="U384" s="82">
        <f t="shared" si="83"/>
        <v>1012500</v>
      </c>
    </row>
    <row r="385" spans="1:21" s="47" customFormat="1" ht="20.25" customHeight="1">
      <c r="A385" s="118">
        <v>74</v>
      </c>
      <c r="B385" s="80" t="s">
        <v>46</v>
      </c>
      <c r="C385" s="344" t="s">
        <v>1515</v>
      </c>
      <c r="D385" s="261" t="s">
        <v>628</v>
      </c>
      <c r="E385" s="80" t="s">
        <v>439</v>
      </c>
      <c r="F385" s="80" t="s">
        <v>1489</v>
      </c>
      <c r="G385" s="66">
        <v>17</v>
      </c>
      <c r="H385" s="82">
        <v>800</v>
      </c>
      <c r="I385" s="82">
        <v>4</v>
      </c>
      <c r="J385" s="84" t="s">
        <v>40</v>
      </c>
      <c r="K385" s="86">
        <v>1</v>
      </c>
      <c r="L385" s="82">
        <v>0</v>
      </c>
      <c r="M385" s="82">
        <f t="shared" si="84"/>
        <v>680</v>
      </c>
      <c r="N385" s="82">
        <f t="shared" si="85"/>
        <v>714</v>
      </c>
      <c r="O385" s="82">
        <f t="shared" si="80"/>
        <v>32844</v>
      </c>
      <c r="P385" s="82">
        <v>1</v>
      </c>
      <c r="Q385" s="82">
        <v>1</v>
      </c>
      <c r="R385" s="82">
        <f t="shared" si="87"/>
        <v>1012500</v>
      </c>
      <c r="S385" s="82">
        <f t="shared" si="86"/>
        <v>1012500</v>
      </c>
      <c r="T385" s="82">
        <f>L385*P385*Q385*R385</f>
        <v>0</v>
      </c>
      <c r="U385" s="82">
        <f t="shared" si="83"/>
        <v>1012500</v>
      </c>
    </row>
    <row r="386" spans="1:21" s="47" customFormat="1" ht="20.25" customHeight="1">
      <c r="A386" s="118">
        <v>75</v>
      </c>
      <c r="B386" s="80" t="s">
        <v>46</v>
      </c>
      <c r="C386" s="344" t="s">
        <v>1514</v>
      </c>
      <c r="D386" s="261" t="s">
        <v>628</v>
      </c>
      <c r="E386" s="80" t="s">
        <v>439</v>
      </c>
      <c r="F386" s="80" t="s">
        <v>1489</v>
      </c>
      <c r="G386" s="66">
        <v>17</v>
      </c>
      <c r="H386" s="82">
        <v>800</v>
      </c>
      <c r="I386" s="82">
        <v>4</v>
      </c>
      <c r="J386" s="84" t="s">
        <v>40</v>
      </c>
      <c r="K386" s="86">
        <v>1</v>
      </c>
      <c r="L386" s="82">
        <v>0</v>
      </c>
      <c r="M386" s="82">
        <f t="shared" si="84"/>
        <v>680</v>
      </c>
      <c r="N386" s="82">
        <f t="shared" si="85"/>
        <v>714</v>
      </c>
      <c r="O386" s="82">
        <f t="shared" si="80"/>
        <v>32844</v>
      </c>
      <c r="P386" s="82">
        <v>1</v>
      </c>
      <c r="Q386" s="82">
        <v>1</v>
      </c>
      <c r="R386" s="82">
        <f t="shared" si="87"/>
        <v>1012500</v>
      </c>
      <c r="S386" s="82">
        <f>R386*Q386*P386*K386</f>
        <v>1012500</v>
      </c>
      <c r="T386" s="82">
        <f>L386*P386*Q386*R386</f>
        <v>0</v>
      </c>
      <c r="U386" s="82">
        <f>S386+T386</f>
        <v>1012500</v>
      </c>
    </row>
    <row r="387" spans="1:21" s="47" customFormat="1" ht="20.25" customHeight="1">
      <c r="A387" s="118">
        <v>76</v>
      </c>
      <c r="B387" s="80" t="s">
        <v>46</v>
      </c>
      <c r="C387" s="344" t="s">
        <v>631</v>
      </c>
      <c r="D387" s="261" t="s">
        <v>628</v>
      </c>
      <c r="E387" s="80" t="s">
        <v>439</v>
      </c>
      <c r="F387" s="80" t="s">
        <v>1489</v>
      </c>
      <c r="G387" s="66">
        <v>12</v>
      </c>
      <c r="H387" s="82">
        <v>800</v>
      </c>
      <c r="I387" s="82">
        <v>2</v>
      </c>
      <c r="J387" s="84" t="s">
        <v>40</v>
      </c>
      <c r="K387" s="86">
        <v>1</v>
      </c>
      <c r="L387" s="82">
        <v>0</v>
      </c>
      <c r="M387" s="82">
        <f t="shared" si="84"/>
        <v>480</v>
      </c>
      <c r="N387" s="82">
        <f t="shared" si="85"/>
        <v>504</v>
      </c>
      <c r="O387" s="82">
        <f t="shared" si="80"/>
        <v>23184</v>
      </c>
      <c r="P387" s="82">
        <v>1</v>
      </c>
      <c r="Q387" s="82">
        <v>1</v>
      </c>
      <c r="R387" s="82">
        <f t="shared" si="87"/>
        <v>1012500</v>
      </c>
      <c r="S387" s="82">
        <f t="shared" si="86"/>
        <v>1012500</v>
      </c>
      <c r="T387" s="82">
        <f t="shared" si="88"/>
        <v>0</v>
      </c>
      <c r="U387" s="82">
        <f t="shared" si="83"/>
        <v>1012500</v>
      </c>
    </row>
    <row r="388" spans="1:21" s="47" customFormat="1" ht="20.25" customHeight="1">
      <c r="A388" s="118">
        <v>77</v>
      </c>
      <c r="B388" s="80" t="s">
        <v>46</v>
      </c>
      <c r="C388" s="344" t="s">
        <v>632</v>
      </c>
      <c r="D388" s="261" t="s">
        <v>628</v>
      </c>
      <c r="E388" s="80" t="s">
        <v>439</v>
      </c>
      <c r="F388" s="80" t="s">
        <v>1138</v>
      </c>
      <c r="G388" s="66">
        <v>12</v>
      </c>
      <c r="H388" s="82">
        <v>800</v>
      </c>
      <c r="I388" s="82">
        <v>2</v>
      </c>
      <c r="J388" s="84" t="s">
        <v>40</v>
      </c>
      <c r="K388" s="86">
        <v>1</v>
      </c>
      <c r="L388" s="82">
        <v>0</v>
      </c>
      <c r="M388" s="82">
        <f t="shared" si="84"/>
        <v>480</v>
      </c>
      <c r="N388" s="82">
        <f t="shared" si="85"/>
        <v>504</v>
      </c>
      <c r="O388" s="82">
        <f t="shared" si="80"/>
        <v>23184</v>
      </c>
      <c r="P388" s="82">
        <v>1</v>
      </c>
      <c r="Q388" s="82">
        <v>1</v>
      </c>
      <c r="R388" s="82">
        <f t="shared" si="87"/>
        <v>1012500</v>
      </c>
      <c r="S388" s="82">
        <f t="shared" si="86"/>
        <v>1012500</v>
      </c>
      <c r="T388" s="82">
        <f t="shared" si="88"/>
        <v>0</v>
      </c>
      <c r="U388" s="82">
        <f t="shared" si="83"/>
        <v>1012500</v>
      </c>
    </row>
    <row r="389" spans="1:21" s="47" customFormat="1" ht="20.25" customHeight="1">
      <c r="A389" s="118">
        <v>78</v>
      </c>
      <c r="B389" s="80" t="s">
        <v>46</v>
      </c>
      <c r="C389" s="344" t="s">
        <v>633</v>
      </c>
      <c r="D389" s="261" t="s">
        <v>628</v>
      </c>
      <c r="E389" s="80" t="s">
        <v>439</v>
      </c>
      <c r="F389" s="80" t="s">
        <v>1138</v>
      </c>
      <c r="G389" s="66">
        <v>12</v>
      </c>
      <c r="H389" s="82">
        <v>800</v>
      </c>
      <c r="I389" s="82">
        <v>2</v>
      </c>
      <c r="J389" s="84" t="s">
        <v>40</v>
      </c>
      <c r="K389" s="86">
        <v>1</v>
      </c>
      <c r="L389" s="82">
        <v>0</v>
      </c>
      <c r="M389" s="82">
        <f t="shared" si="84"/>
        <v>480</v>
      </c>
      <c r="N389" s="82">
        <f t="shared" si="85"/>
        <v>504</v>
      </c>
      <c r="O389" s="82">
        <f t="shared" si="80"/>
        <v>23184</v>
      </c>
      <c r="P389" s="82">
        <v>1</v>
      </c>
      <c r="Q389" s="82">
        <v>1</v>
      </c>
      <c r="R389" s="82">
        <f t="shared" si="87"/>
        <v>1012500</v>
      </c>
      <c r="S389" s="82">
        <f t="shared" si="86"/>
        <v>1012500</v>
      </c>
      <c r="T389" s="82">
        <f t="shared" si="88"/>
        <v>0</v>
      </c>
      <c r="U389" s="82">
        <f t="shared" si="83"/>
        <v>1012500</v>
      </c>
    </row>
    <row r="390" spans="1:21" s="47" customFormat="1" ht="20.25" customHeight="1">
      <c r="A390" s="118">
        <v>79</v>
      </c>
      <c r="B390" s="80" t="s">
        <v>46</v>
      </c>
      <c r="C390" s="344" t="s">
        <v>634</v>
      </c>
      <c r="D390" s="261" t="s">
        <v>628</v>
      </c>
      <c r="E390" s="80" t="s">
        <v>439</v>
      </c>
      <c r="F390" s="80" t="s">
        <v>1138</v>
      </c>
      <c r="G390" s="66">
        <v>12</v>
      </c>
      <c r="H390" s="82">
        <v>800</v>
      </c>
      <c r="I390" s="82">
        <v>2</v>
      </c>
      <c r="J390" s="84" t="s">
        <v>993</v>
      </c>
      <c r="K390" s="86">
        <v>0</v>
      </c>
      <c r="L390" s="82">
        <v>1</v>
      </c>
      <c r="M390" s="82">
        <f t="shared" si="84"/>
        <v>480</v>
      </c>
      <c r="N390" s="82">
        <f t="shared" si="85"/>
        <v>504</v>
      </c>
      <c r="O390" s="82">
        <f t="shared" si="80"/>
        <v>23184</v>
      </c>
      <c r="P390" s="82">
        <v>1</v>
      </c>
      <c r="Q390" s="82">
        <v>1</v>
      </c>
      <c r="R390" s="82">
        <f t="shared" si="87"/>
        <v>1012500</v>
      </c>
      <c r="S390" s="82">
        <f t="shared" si="86"/>
        <v>0</v>
      </c>
      <c r="T390" s="82">
        <f t="shared" si="88"/>
        <v>1012500</v>
      </c>
      <c r="U390" s="82">
        <f t="shared" si="83"/>
        <v>1012500</v>
      </c>
    </row>
    <row r="391" spans="1:21" s="47" customFormat="1" ht="20.25" customHeight="1">
      <c r="A391" s="118">
        <v>80</v>
      </c>
      <c r="B391" s="80" t="s">
        <v>46</v>
      </c>
      <c r="C391" s="344" t="s">
        <v>635</v>
      </c>
      <c r="D391" s="261" t="s">
        <v>628</v>
      </c>
      <c r="E391" s="80" t="s">
        <v>439</v>
      </c>
      <c r="F391" s="80" t="s">
        <v>1489</v>
      </c>
      <c r="G391" s="66">
        <v>12</v>
      </c>
      <c r="H391" s="82">
        <v>800</v>
      </c>
      <c r="I391" s="82">
        <v>2</v>
      </c>
      <c r="J391" s="84" t="s">
        <v>40</v>
      </c>
      <c r="K391" s="86">
        <v>1</v>
      </c>
      <c r="L391" s="82">
        <v>0</v>
      </c>
      <c r="M391" s="82">
        <f t="shared" si="84"/>
        <v>480</v>
      </c>
      <c r="N391" s="82">
        <f t="shared" si="85"/>
        <v>504</v>
      </c>
      <c r="O391" s="82">
        <f t="shared" si="80"/>
        <v>23184</v>
      </c>
      <c r="P391" s="82">
        <v>1</v>
      </c>
      <c r="Q391" s="82">
        <v>1</v>
      </c>
      <c r="R391" s="82">
        <f t="shared" si="87"/>
        <v>1012500</v>
      </c>
      <c r="S391" s="82">
        <f t="shared" si="86"/>
        <v>1012500</v>
      </c>
      <c r="T391" s="82">
        <f t="shared" si="88"/>
        <v>0</v>
      </c>
      <c r="U391" s="82">
        <f t="shared" si="83"/>
        <v>1012500</v>
      </c>
    </row>
    <row r="392" spans="1:21" s="47" customFormat="1" ht="20.25" customHeight="1">
      <c r="A392" s="118">
        <v>81</v>
      </c>
      <c r="B392" s="80" t="s">
        <v>46</v>
      </c>
      <c r="C392" s="344" t="s">
        <v>636</v>
      </c>
      <c r="D392" s="261" t="s">
        <v>628</v>
      </c>
      <c r="E392" s="80" t="s">
        <v>439</v>
      </c>
      <c r="F392" s="80" t="s">
        <v>1138</v>
      </c>
      <c r="G392" s="66">
        <v>12</v>
      </c>
      <c r="H392" s="82">
        <v>800</v>
      </c>
      <c r="I392" s="82">
        <v>2</v>
      </c>
      <c r="J392" s="84" t="s">
        <v>993</v>
      </c>
      <c r="K392" s="86">
        <v>0</v>
      </c>
      <c r="L392" s="82">
        <v>1</v>
      </c>
      <c r="M392" s="82">
        <f t="shared" si="84"/>
        <v>480</v>
      </c>
      <c r="N392" s="82">
        <f t="shared" si="85"/>
        <v>504</v>
      </c>
      <c r="O392" s="82">
        <f t="shared" si="80"/>
        <v>23184</v>
      </c>
      <c r="P392" s="82">
        <v>1</v>
      </c>
      <c r="Q392" s="82">
        <v>1</v>
      </c>
      <c r="R392" s="82">
        <f t="shared" si="87"/>
        <v>1012500</v>
      </c>
      <c r="S392" s="82">
        <f t="shared" si="86"/>
        <v>0</v>
      </c>
      <c r="T392" s="82">
        <f t="shared" si="88"/>
        <v>1012500</v>
      </c>
      <c r="U392" s="82">
        <f t="shared" si="83"/>
        <v>1012500</v>
      </c>
    </row>
    <row r="393" spans="1:21" s="47" customFormat="1" ht="20.25" customHeight="1">
      <c r="A393" s="118">
        <v>82</v>
      </c>
      <c r="B393" s="80" t="s">
        <v>46</v>
      </c>
      <c r="C393" s="344" t="s">
        <v>637</v>
      </c>
      <c r="D393" s="261" t="s">
        <v>628</v>
      </c>
      <c r="E393" s="80" t="s">
        <v>439</v>
      </c>
      <c r="F393" s="80" t="s">
        <v>1138</v>
      </c>
      <c r="G393" s="66">
        <v>12</v>
      </c>
      <c r="H393" s="82">
        <v>800</v>
      </c>
      <c r="I393" s="82">
        <v>2</v>
      </c>
      <c r="J393" s="84" t="s">
        <v>993</v>
      </c>
      <c r="K393" s="86">
        <v>0</v>
      </c>
      <c r="L393" s="82">
        <v>1</v>
      </c>
      <c r="M393" s="82">
        <f t="shared" si="84"/>
        <v>480</v>
      </c>
      <c r="N393" s="82">
        <f t="shared" si="85"/>
        <v>504</v>
      </c>
      <c r="O393" s="82">
        <f t="shared" si="80"/>
        <v>23184</v>
      </c>
      <c r="P393" s="82">
        <v>1</v>
      </c>
      <c r="Q393" s="82">
        <v>1</v>
      </c>
      <c r="R393" s="82">
        <f t="shared" si="87"/>
        <v>1012500</v>
      </c>
      <c r="S393" s="82">
        <f t="shared" si="86"/>
        <v>0</v>
      </c>
      <c r="T393" s="82">
        <f t="shared" si="88"/>
        <v>1012500</v>
      </c>
      <c r="U393" s="82">
        <f t="shared" si="83"/>
        <v>1012500</v>
      </c>
    </row>
    <row r="394" spans="1:21" s="47" customFormat="1" ht="20.25" customHeight="1">
      <c r="A394" s="118">
        <v>83</v>
      </c>
      <c r="B394" s="80" t="s">
        <v>46</v>
      </c>
      <c r="C394" s="344" t="s">
        <v>638</v>
      </c>
      <c r="D394" s="261" t="s">
        <v>628</v>
      </c>
      <c r="E394" s="80" t="s">
        <v>439</v>
      </c>
      <c r="F394" s="80" t="s">
        <v>1138</v>
      </c>
      <c r="G394" s="66">
        <v>12</v>
      </c>
      <c r="H394" s="82">
        <v>800</v>
      </c>
      <c r="I394" s="82">
        <v>2</v>
      </c>
      <c r="J394" s="84" t="s">
        <v>993</v>
      </c>
      <c r="K394" s="86">
        <v>0</v>
      </c>
      <c r="L394" s="82">
        <v>1</v>
      </c>
      <c r="M394" s="82">
        <f t="shared" si="84"/>
        <v>480</v>
      </c>
      <c r="N394" s="82">
        <f t="shared" si="85"/>
        <v>504</v>
      </c>
      <c r="O394" s="82">
        <f t="shared" si="80"/>
        <v>23184</v>
      </c>
      <c r="P394" s="82">
        <v>1</v>
      </c>
      <c r="Q394" s="82">
        <v>1</v>
      </c>
      <c r="R394" s="82">
        <f t="shared" si="87"/>
        <v>1012500</v>
      </c>
      <c r="S394" s="82">
        <f t="shared" si="86"/>
        <v>0</v>
      </c>
      <c r="T394" s="82">
        <f t="shared" si="88"/>
        <v>1012500</v>
      </c>
      <c r="U394" s="82">
        <f t="shared" si="83"/>
        <v>1012500</v>
      </c>
    </row>
    <row r="395" spans="1:21" s="47" customFormat="1" ht="20.25" customHeight="1">
      <c r="A395" s="118">
        <v>84</v>
      </c>
      <c r="B395" s="80" t="s">
        <v>46</v>
      </c>
      <c r="C395" s="344" t="s">
        <v>639</v>
      </c>
      <c r="D395" s="261" t="s">
        <v>628</v>
      </c>
      <c r="E395" s="80" t="s">
        <v>439</v>
      </c>
      <c r="F395" s="80" t="s">
        <v>1138</v>
      </c>
      <c r="G395" s="66">
        <v>12</v>
      </c>
      <c r="H395" s="82">
        <v>800</v>
      </c>
      <c r="I395" s="82">
        <v>2</v>
      </c>
      <c r="J395" s="84" t="s">
        <v>993</v>
      </c>
      <c r="K395" s="86">
        <v>0</v>
      </c>
      <c r="L395" s="82">
        <v>1</v>
      </c>
      <c r="M395" s="82">
        <f t="shared" si="84"/>
        <v>480</v>
      </c>
      <c r="N395" s="82">
        <f t="shared" si="85"/>
        <v>504</v>
      </c>
      <c r="O395" s="82">
        <f t="shared" si="80"/>
        <v>23184</v>
      </c>
      <c r="P395" s="82">
        <v>1</v>
      </c>
      <c r="Q395" s="82">
        <v>1</v>
      </c>
      <c r="R395" s="82">
        <f t="shared" si="87"/>
        <v>1012500</v>
      </c>
      <c r="S395" s="82">
        <f t="shared" si="86"/>
        <v>0</v>
      </c>
      <c r="T395" s="82">
        <f t="shared" si="88"/>
        <v>1012500</v>
      </c>
      <c r="U395" s="82">
        <f t="shared" si="83"/>
        <v>1012500</v>
      </c>
    </row>
    <row r="396" spans="1:21" s="47" customFormat="1" ht="20.25" customHeight="1">
      <c r="A396" s="118">
        <v>85</v>
      </c>
      <c r="B396" s="80" t="s">
        <v>46</v>
      </c>
      <c r="C396" s="344" t="s">
        <v>640</v>
      </c>
      <c r="D396" s="261" t="s">
        <v>628</v>
      </c>
      <c r="E396" s="80" t="s">
        <v>439</v>
      </c>
      <c r="F396" s="80" t="s">
        <v>1138</v>
      </c>
      <c r="G396" s="66">
        <v>14</v>
      </c>
      <c r="H396" s="82">
        <v>1000</v>
      </c>
      <c r="I396" s="82">
        <v>2</v>
      </c>
      <c r="J396" s="84" t="s">
        <v>993</v>
      </c>
      <c r="K396" s="86">
        <v>0</v>
      </c>
      <c r="L396" s="82">
        <v>1</v>
      </c>
      <c r="M396" s="82">
        <f t="shared" si="84"/>
        <v>700</v>
      </c>
      <c r="N396" s="82">
        <f t="shared" si="85"/>
        <v>735</v>
      </c>
      <c r="O396" s="82">
        <f t="shared" si="80"/>
        <v>33810</v>
      </c>
      <c r="P396" s="82">
        <v>1</v>
      </c>
      <c r="Q396" s="82">
        <v>1</v>
      </c>
      <c r="R396" s="82">
        <f t="shared" si="87"/>
        <v>1012500</v>
      </c>
      <c r="S396" s="82">
        <f t="shared" si="86"/>
        <v>0</v>
      </c>
      <c r="T396" s="82">
        <f t="shared" si="88"/>
        <v>1012500</v>
      </c>
      <c r="U396" s="82">
        <f t="shared" si="83"/>
        <v>1012500</v>
      </c>
    </row>
    <row r="397" spans="1:21" s="47" customFormat="1" ht="20.25" customHeight="1">
      <c r="A397" s="118">
        <v>86</v>
      </c>
      <c r="B397" s="80" t="s">
        <v>46</v>
      </c>
      <c r="C397" s="344" t="s">
        <v>641</v>
      </c>
      <c r="D397" s="261" t="s">
        <v>628</v>
      </c>
      <c r="E397" s="80" t="s">
        <v>439</v>
      </c>
      <c r="F397" s="80" t="s">
        <v>1138</v>
      </c>
      <c r="G397" s="66">
        <v>14</v>
      </c>
      <c r="H397" s="82">
        <v>1000</v>
      </c>
      <c r="I397" s="82">
        <v>2</v>
      </c>
      <c r="J397" s="84" t="s">
        <v>993</v>
      </c>
      <c r="K397" s="86">
        <v>0</v>
      </c>
      <c r="L397" s="82">
        <v>1</v>
      </c>
      <c r="M397" s="82">
        <f t="shared" si="84"/>
        <v>700</v>
      </c>
      <c r="N397" s="82">
        <f t="shared" si="85"/>
        <v>735</v>
      </c>
      <c r="O397" s="82">
        <f t="shared" si="80"/>
        <v>33810</v>
      </c>
      <c r="P397" s="82">
        <v>1</v>
      </c>
      <c r="Q397" s="82">
        <v>1</v>
      </c>
      <c r="R397" s="82">
        <f t="shared" si="87"/>
        <v>1012500</v>
      </c>
      <c r="S397" s="82">
        <f t="shared" si="86"/>
        <v>0</v>
      </c>
      <c r="T397" s="82">
        <f t="shared" si="88"/>
        <v>1012500</v>
      </c>
      <c r="U397" s="82">
        <f t="shared" si="83"/>
        <v>1012500</v>
      </c>
    </row>
    <row r="398" spans="1:22" s="47" customFormat="1" ht="20.25" customHeight="1">
      <c r="A398" s="118">
        <v>87</v>
      </c>
      <c r="B398" s="80" t="s">
        <v>100</v>
      </c>
      <c r="C398" s="344" t="s">
        <v>642</v>
      </c>
      <c r="D398" s="261" t="s">
        <v>643</v>
      </c>
      <c r="E398" s="80" t="s">
        <v>378</v>
      </c>
      <c r="F398" s="80" t="s">
        <v>1138</v>
      </c>
      <c r="G398" s="66">
        <v>7</v>
      </c>
      <c r="H398" s="83">
        <v>1700</v>
      </c>
      <c r="I398" s="82">
        <v>1</v>
      </c>
      <c r="J398" s="84" t="s">
        <v>77</v>
      </c>
      <c r="K398" s="86">
        <v>1</v>
      </c>
      <c r="L398" s="134">
        <v>0</v>
      </c>
      <c r="M398" s="82">
        <f>(1*H398/5)+(6*H398*5/100)</f>
        <v>850</v>
      </c>
      <c r="N398" s="82">
        <f>(1*H398/5*0.15*5.5)+(6*H398*5/100*0.15*7)</f>
        <v>816</v>
      </c>
      <c r="O398" s="82">
        <f>((H398*1/5*6.6*5.5)+(H398*1/5*5.5*0.15*2))+((H398*6*5/100*6.6*7)+(H398*6*5/100*0.15*7*2))</f>
        <v>37536</v>
      </c>
      <c r="P398" s="82">
        <v>1</v>
      </c>
      <c r="Q398" s="82">
        <v>1</v>
      </c>
      <c r="R398" s="82">
        <f t="shared" si="87"/>
        <v>1012500</v>
      </c>
      <c r="S398" s="82">
        <f t="shared" si="86"/>
        <v>1012500</v>
      </c>
      <c r="T398" s="82">
        <f t="shared" si="88"/>
        <v>0</v>
      </c>
      <c r="U398" s="82">
        <f t="shared" si="83"/>
        <v>1012500</v>
      </c>
      <c r="V398" s="42"/>
    </row>
    <row r="399" spans="1:22" s="47" customFormat="1" ht="20.25" customHeight="1">
      <c r="A399" s="118">
        <v>88</v>
      </c>
      <c r="B399" s="80" t="s">
        <v>100</v>
      </c>
      <c r="C399" s="344" t="s">
        <v>1038</v>
      </c>
      <c r="D399" s="261" t="s">
        <v>644</v>
      </c>
      <c r="E399" s="80" t="s">
        <v>402</v>
      </c>
      <c r="F399" s="80" t="s">
        <v>1138</v>
      </c>
      <c r="G399" s="66">
        <v>9</v>
      </c>
      <c r="H399" s="82">
        <v>350</v>
      </c>
      <c r="I399" s="82">
        <v>1</v>
      </c>
      <c r="J399" s="84" t="s">
        <v>62</v>
      </c>
      <c r="K399" s="86">
        <v>1</v>
      </c>
      <c r="L399" s="82">
        <v>0</v>
      </c>
      <c r="M399" s="82">
        <f>(2*H399/5)+(7*H399*5/100)</f>
        <v>262.5</v>
      </c>
      <c r="N399" s="82">
        <f>(2*H399/5*0.15*5.5)+(7*H399*5/100*0.15*7)</f>
        <v>244.125</v>
      </c>
      <c r="O399" s="82">
        <f>((H399*2/5*6.6*5.5)+(H399*2/5*5.5*0.15*2))+((H399*7*5/100*6.6*7)+(H399*7*5/100*0.15*7*2))</f>
        <v>11229.75</v>
      </c>
      <c r="P399" s="82">
        <v>1</v>
      </c>
      <c r="Q399" s="82">
        <v>1</v>
      </c>
      <c r="R399" s="82">
        <f t="shared" si="87"/>
        <v>1012500</v>
      </c>
      <c r="S399" s="82">
        <f t="shared" si="86"/>
        <v>1012500</v>
      </c>
      <c r="T399" s="82">
        <f t="shared" si="88"/>
        <v>0</v>
      </c>
      <c r="U399" s="82">
        <f t="shared" si="83"/>
        <v>1012500</v>
      </c>
      <c r="V399" s="42"/>
    </row>
    <row r="400" spans="1:22" s="47" customFormat="1" ht="20.25" customHeight="1">
      <c r="A400" s="118">
        <v>89</v>
      </c>
      <c r="B400" s="80" t="s">
        <v>17</v>
      </c>
      <c r="C400" s="344" t="s">
        <v>645</v>
      </c>
      <c r="D400" s="261" t="s">
        <v>646</v>
      </c>
      <c r="E400" s="80" t="s">
        <v>389</v>
      </c>
      <c r="F400" s="80" t="s">
        <v>1138</v>
      </c>
      <c r="G400" s="66">
        <v>8</v>
      </c>
      <c r="H400" s="82">
        <v>500</v>
      </c>
      <c r="I400" s="82">
        <v>2</v>
      </c>
      <c r="J400" s="84" t="s">
        <v>62</v>
      </c>
      <c r="K400" s="86">
        <v>1</v>
      </c>
      <c r="L400" s="134">
        <v>0</v>
      </c>
      <c r="M400" s="82">
        <f>G400*H400/5</f>
        <v>800</v>
      </c>
      <c r="N400" s="82">
        <f>M400*0.15*5.5</f>
        <v>660</v>
      </c>
      <c r="O400" s="82">
        <f aca="true" t="shared" si="89" ref="O400:O420">M400*6.6*5.5+N400*2</f>
        <v>30360</v>
      </c>
      <c r="P400" s="82">
        <v>1</v>
      </c>
      <c r="Q400" s="82">
        <v>1</v>
      </c>
      <c r="R400" s="82">
        <f t="shared" si="87"/>
        <v>1012500</v>
      </c>
      <c r="S400" s="82">
        <f t="shared" si="86"/>
        <v>1012500</v>
      </c>
      <c r="T400" s="82">
        <f t="shared" si="88"/>
        <v>0</v>
      </c>
      <c r="U400" s="82">
        <f t="shared" si="83"/>
        <v>1012500</v>
      </c>
      <c r="V400" s="42"/>
    </row>
    <row r="401" spans="1:22" s="47" customFormat="1" ht="20.25" customHeight="1">
      <c r="A401" s="118">
        <v>90</v>
      </c>
      <c r="B401" s="80" t="s">
        <v>17</v>
      </c>
      <c r="C401" s="344" t="s">
        <v>647</v>
      </c>
      <c r="D401" s="261" t="s">
        <v>648</v>
      </c>
      <c r="E401" s="80" t="s">
        <v>396</v>
      </c>
      <c r="F401" s="80" t="s">
        <v>1138</v>
      </c>
      <c r="G401" s="66">
        <v>17</v>
      </c>
      <c r="H401" s="82">
        <v>900</v>
      </c>
      <c r="I401" s="82">
        <v>2</v>
      </c>
      <c r="J401" s="84" t="s">
        <v>40</v>
      </c>
      <c r="K401" s="86">
        <v>1</v>
      </c>
      <c r="L401" s="134">
        <v>0</v>
      </c>
      <c r="M401" s="82">
        <f>G401*H401/5</f>
        <v>3060</v>
      </c>
      <c r="N401" s="82">
        <f>M401*0.15*5.5</f>
        <v>2524.5</v>
      </c>
      <c r="O401" s="82">
        <f t="shared" si="89"/>
        <v>116127</v>
      </c>
      <c r="P401" s="82">
        <v>1</v>
      </c>
      <c r="Q401" s="82">
        <v>1</v>
      </c>
      <c r="R401" s="82">
        <f t="shared" si="87"/>
        <v>1012500</v>
      </c>
      <c r="S401" s="82">
        <f t="shared" si="86"/>
        <v>1012500</v>
      </c>
      <c r="T401" s="82">
        <f t="shared" si="88"/>
        <v>0</v>
      </c>
      <c r="U401" s="82">
        <f t="shared" si="83"/>
        <v>1012500</v>
      </c>
      <c r="V401" s="42"/>
    </row>
    <row r="402" spans="1:22" s="47" customFormat="1" ht="20.25" customHeight="1">
      <c r="A402" s="118">
        <v>91</v>
      </c>
      <c r="B402" s="80" t="s">
        <v>17</v>
      </c>
      <c r="C402" s="346" t="s">
        <v>649</v>
      </c>
      <c r="D402" s="261" t="s">
        <v>650</v>
      </c>
      <c r="E402" s="80" t="s">
        <v>402</v>
      </c>
      <c r="F402" s="80" t="s">
        <v>1138</v>
      </c>
      <c r="G402" s="66">
        <v>10</v>
      </c>
      <c r="H402" s="82">
        <v>300</v>
      </c>
      <c r="I402" s="82">
        <v>1</v>
      </c>
      <c r="J402" s="84" t="s">
        <v>77</v>
      </c>
      <c r="K402" s="86">
        <v>1</v>
      </c>
      <c r="L402" s="82">
        <v>0</v>
      </c>
      <c r="M402" s="82">
        <f>G402*H402/5</f>
        <v>600</v>
      </c>
      <c r="N402" s="82">
        <f>M402*0.15*5.5</f>
        <v>495</v>
      </c>
      <c r="O402" s="82">
        <f t="shared" si="89"/>
        <v>22770</v>
      </c>
      <c r="P402" s="82">
        <v>1</v>
      </c>
      <c r="Q402" s="82">
        <v>1</v>
      </c>
      <c r="R402" s="82">
        <f t="shared" si="87"/>
        <v>1012500</v>
      </c>
      <c r="S402" s="82">
        <f t="shared" si="86"/>
        <v>1012500</v>
      </c>
      <c r="T402" s="82">
        <f t="shared" si="88"/>
        <v>0</v>
      </c>
      <c r="U402" s="82">
        <f t="shared" si="83"/>
        <v>1012500</v>
      </c>
      <c r="V402" s="42"/>
    </row>
    <row r="403" spans="1:21" s="47" customFormat="1" ht="20.25" customHeight="1">
      <c r="A403" s="118">
        <v>92</v>
      </c>
      <c r="B403" s="80" t="s">
        <v>17</v>
      </c>
      <c r="C403" s="344" t="s">
        <v>651</v>
      </c>
      <c r="D403" s="261" t="s">
        <v>652</v>
      </c>
      <c r="E403" s="80" t="s">
        <v>386</v>
      </c>
      <c r="F403" s="80" t="s">
        <v>1138</v>
      </c>
      <c r="G403" s="66">
        <v>17</v>
      </c>
      <c r="H403" s="82">
        <v>700</v>
      </c>
      <c r="I403" s="82">
        <v>2</v>
      </c>
      <c r="J403" s="84" t="s">
        <v>993</v>
      </c>
      <c r="K403" s="86">
        <v>0</v>
      </c>
      <c r="L403" s="82">
        <v>1</v>
      </c>
      <c r="M403" s="82">
        <f>G403*H403/5</f>
        <v>2380</v>
      </c>
      <c r="N403" s="82">
        <f>M403*0.15*5.5</f>
        <v>1963.5</v>
      </c>
      <c r="O403" s="82">
        <f t="shared" si="89"/>
        <v>90321</v>
      </c>
      <c r="P403" s="82">
        <v>1</v>
      </c>
      <c r="Q403" s="82">
        <v>1</v>
      </c>
      <c r="R403" s="82">
        <f t="shared" si="87"/>
        <v>1012500</v>
      </c>
      <c r="S403" s="82">
        <f t="shared" si="86"/>
        <v>0</v>
      </c>
      <c r="T403" s="82">
        <f t="shared" si="88"/>
        <v>1012500</v>
      </c>
      <c r="U403" s="82">
        <f t="shared" si="83"/>
        <v>1012500</v>
      </c>
    </row>
    <row r="404" spans="1:22" s="47" customFormat="1" ht="20.25" customHeight="1">
      <c r="A404" s="118">
        <v>93</v>
      </c>
      <c r="B404" s="80" t="s">
        <v>46</v>
      </c>
      <c r="C404" s="344" t="s">
        <v>844</v>
      </c>
      <c r="D404" s="261" t="s">
        <v>395</v>
      </c>
      <c r="E404" s="80" t="s">
        <v>396</v>
      </c>
      <c r="F404" s="80" t="s">
        <v>1138</v>
      </c>
      <c r="G404" s="66">
        <v>10</v>
      </c>
      <c r="H404" s="82">
        <v>600</v>
      </c>
      <c r="I404" s="82">
        <v>2</v>
      </c>
      <c r="J404" s="84" t="s">
        <v>62</v>
      </c>
      <c r="K404" s="86">
        <v>1</v>
      </c>
      <c r="L404" s="82">
        <v>0</v>
      </c>
      <c r="M404" s="82">
        <f>G404*H404*5/100</f>
        <v>300</v>
      </c>
      <c r="N404" s="82">
        <f>M404*0.15*7</f>
        <v>315</v>
      </c>
      <c r="O404" s="82">
        <f>M404*6.6*7+N404*2</f>
        <v>14490</v>
      </c>
      <c r="P404" s="82">
        <v>1</v>
      </c>
      <c r="Q404" s="82">
        <v>1</v>
      </c>
      <c r="R404" s="82">
        <f t="shared" si="87"/>
        <v>1012500</v>
      </c>
      <c r="S404" s="82">
        <f t="shared" si="86"/>
        <v>1012500</v>
      </c>
      <c r="T404" s="82">
        <f t="shared" si="88"/>
        <v>0</v>
      </c>
      <c r="U404" s="82">
        <f t="shared" si="83"/>
        <v>1012500</v>
      </c>
      <c r="V404" s="42"/>
    </row>
    <row r="405" spans="1:22" s="47" customFormat="1" ht="20.25" customHeight="1">
      <c r="A405" s="118">
        <v>94</v>
      </c>
      <c r="B405" s="80" t="s">
        <v>17</v>
      </c>
      <c r="C405" s="344" t="s">
        <v>653</v>
      </c>
      <c r="D405" s="261" t="s">
        <v>654</v>
      </c>
      <c r="E405" s="80" t="s">
        <v>386</v>
      </c>
      <c r="F405" s="80" t="s">
        <v>1138</v>
      </c>
      <c r="G405" s="66">
        <v>10</v>
      </c>
      <c r="H405" s="82">
        <v>250</v>
      </c>
      <c r="I405" s="82">
        <v>1</v>
      </c>
      <c r="J405" s="84" t="s">
        <v>77</v>
      </c>
      <c r="K405" s="86">
        <v>1</v>
      </c>
      <c r="L405" s="82">
        <v>0</v>
      </c>
      <c r="M405" s="82">
        <f>G405*H405/5</f>
        <v>500</v>
      </c>
      <c r="N405" s="82">
        <f>M405*0.15*5.5</f>
        <v>412.5</v>
      </c>
      <c r="O405" s="82">
        <f t="shared" si="89"/>
        <v>18975</v>
      </c>
      <c r="P405" s="82">
        <v>1</v>
      </c>
      <c r="Q405" s="82">
        <v>1</v>
      </c>
      <c r="R405" s="82">
        <f t="shared" si="87"/>
        <v>1012500</v>
      </c>
      <c r="S405" s="82">
        <f t="shared" si="86"/>
        <v>1012500</v>
      </c>
      <c r="T405" s="82">
        <f t="shared" si="88"/>
        <v>0</v>
      </c>
      <c r="U405" s="82">
        <f t="shared" si="83"/>
        <v>1012500</v>
      </c>
      <c r="V405" s="42"/>
    </row>
    <row r="406" spans="1:22" s="47" customFormat="1" ht="20.25" customHeight="1">
      <c r="A406" s="118">
        <v>95</v>
      </c>
      <c r="B406" s="80" t="s">
        <v>17</v>
      </c>
      <c r="C406" s="344" t="s">
        <v>655</v>
      </c>
      <c r="D406" s="261" t="s">
        <v>656</v>
      </c>
      <c r="E406" s="80" t="s">
        <v>378</v>
      </c>
      <c r="F406" s="80" t="s">
        <v>1138</v>
      </c>
      <c r="G406" s="66">
        <v>9</v>
      </c>
      <c r="H406" s="82">
        <v>280</v>
      </c>
      <c r="I406" s="82">
        <v>2</v>
      </c>
      <c r="J406" s="84" t="s">
        <v>62</v>
      </c>
      <c r="K406" s="86">
        <v>1</v>
      </c>
      <c r="L406" s="82">
        <v>0</v>
      </c>
      <c r="M406" s="82">
        <f>G406*H406/5</f>
        <v>504</v>
      </c>
      <c r="N406" s="82">
        <f>M406*0.15*5.5</f>
        <v>415.79999999999995</v>
      </c>
      <c r="O406" s="82">
        <f>M406*6.6*5.5+N406*2</f>
        <v>19126.799999999996</v>
      </c>
      <c r="P406" s="82">
        <v>1</v>
      </c>
      <c r="Q406" s="82">
        <v>1</v>
      </c>
      <c r="R406" s="82">
        <f>45*$R$2</f>
        <v>1012500</v>
      </c>
      <c r="S406" s="82">
        <f t="shared" si="86"/>
        <v>1012500</v>
      </c>
      <c r="T406" s="82">
        <f t="shared" si="88"/>
        <v>0</v>
      </c>
      <c r="U406" s="82">
        <f t="shared" si="83"/>
        <v>1012500</v>
      </c>
      <c r="V406" s="42"/>
    </row>
    <row r="407" spans="1:21" s="47" customFormat="1" ht="20.25" customHeight="1">
      <c r="A407" s="118">
        <v>96</v>
      </c>
      <c r="B407" s="80" t="s">
        <v>17</v>
      </c>
      <c r="C407" s="344" t="s">
        <v>657</v>
      </c>
      <c r="D407" s="135" t="s">
        <v>658</v>
      </c>
      <c r="E407" s="80" t="s">
        <v>386</v>
      </c>
      <c r="F407" s="80" t="s">
        <v>1138</v>
      </c>
      <c r="G407" s="66">
        <v>8</v>
      </c>
      <c r="H407" s="82">
        <v>700</v>
      </c>
      <c r="I407" s="82">
        <v>1</v>
      </c>
      <c r="J407" s="84" t="s">
        <v>994</v>
      </c>
      <c r="K407" s="86">
        <v>0</v>
      </c>
      <c r="L407" s="82">
        <v>1</v>
      </c>
      <c r="M407" s="82">
        <f>G407*H407/5</f>
        <v>1120</v>
      </c>
      <c r="N407" s="82">
        <f>M407*0.15*5.5</f>
        <v>924</v>
      </c>
      <c r="O407" s="82">
        <f>M407*6.6*5.5+N407*2</f>
        <v>42504</v>
      </c>
      <c r="P407" s="82">
        <v>1</v>
      </c>
      <c r="Q407" s="82">
        <v>1</v>
      </c>
      <c r="R407" s="82">
        <f t="shared" si="87"/>
        <v>1012500</v>
      </c>
      <c r="S407" s="82">
        <f>R407*Q407*P407*K407</f>
        <v>0</v>
      </c>
      <c r="T407" s="82">
        <f t="shared" si="88"/>
        <v>1012500</v>
      </c>
      <c r="U407" s="82">
        <f t="shared" si="83"/>
        <v>1012500</v>
      </c>
    </row>
    <row r="408" spans="1:22" s="47" customFormat="1" ht="20.25" customHeight="1">
      <c r="A408" s="118">
        <v>97</v>
      </c>
      <c r="B408" s="80" t="s">
        <v>17</v>
      </c>
      <c r="C408" s="344" t="s">
        <v>659</v>
      </c>
      <c r="D408" s="261" t="s">
        <v>660</v>
      </c>
      <c r="E408" s="80" t="s">
        <v>439</v>
      </c>
      <c r="F408" s="80" t="s">
        <v>1138</v>
      </c>
      <c r="G408" s="66">
        <v>9</v>
      </c>
      <c r="H408" s="82">
        <v>600</v>
      </c>
      <c r="I408" s="82">
        <v>2</v>
      </c>
      <c r="J408" s="84" t="s">
        <v>62</v>
      </c>
      <c r="K408" s="136">
        <v>1</v>
      </c>
      <c r="L408" s="82">
        <v>0</v>
      </c>
      <c r="M408" s="82">
        <f>G408*H408/5</f>
        <v>1080</v>
      </c>
      <c r="N408" s="82">
        <f>M408*0.15*5.5</f>
        <v>891</v>
      </c>
      <c r="O408" s="82">
        <f>M408*6.6*5.5+N408*2</f>
        <v>40986</v>
      </c>
      <c r="P408" s="82">
        <v>1</v>
      </c>
      <c r="Q408" s="82">
        <v>1</v>
      </c>
      <c r="R408" s="82">
        <f t="shared" si="87"/>
        <v>1012500</v>
      </c>
      <c r="S408" s="82">
        <f>R408*Q408*P408*K408</f>
        <v>1012500</v>
      </c>
      <c r="T408" s="82">
        <f t="shared" si="88"/>
        <v>0</v>
      </c>
      <c r="U408" s="82">
        <f t="shared" si="83"/>
        <v>1012500</v>
      </c>
      <c r="V408" s="42"/>
    </row>
    <row r="409" spans="1:22" s="47" customFormat="1" ht="20.25" customHeight="1">
      <c r="A409" s="118">
        <v>98</v>
      </c>
      <c r="B409" s="80" t="s">
        <v>46</v>
      </c>
      <c r="C409" s="344" t="s">
        <v>938</v>
      </c>
      <c r="D409" s="261" t="s">
        <v>661</v>
      </c>
      <c r="E409" s="80" t="s">
        <v>389</v>
      </c>
      <c r="F409" s="80" t="s">
        <v>1138</v>
      </c>
      <c r="G409" s="66">
        <v>15</v>
      </c>
      <c r="H409" s="83">
        <v>1200</v>
      </c>
      <c r="I409" s="82">
        <v>4</v>
      </c>
      <c r="J409" s="84" t="s">
        <v>77</v>
      </c>
      <c r="K409" s="86">
        <v>1</v>
      </c>
      <c r="L409" s="82">
        <v>0</v>
      </c>
      <c r="M409" s="82">
        <f>G409*H409*5/100</f>
        <v>900</v>
      </c>
      <c r="N409" s="82">
        <f>M409*0.15*7</f>
        <v>945</v>
      </c>
      <c r="O409" s="82">
        <f>M409*6.6*7+N409*2</f>
        <v>43470</v>
      </c>
      <c r="P409" s="82">
        <v>1</v>
      </c>
      <c r="Q409" s="82">
        <v>1</v>
      </c>
      <c r="R409" s="82">
        <f t="shared" si="87"/>
        <v>1012500</v>
      </c>
      <c r="S409" s="82">
        <f>R409*Q409*P409*K409</f>
        <v>1012500</v>
      </c>
      <c r="T409" s="82">
        <f t="shared" si="88"/>
        <v>0</v>
      </c>
      <c r="U409" s="82">
        <f t="shared" si="83"/>
        <v>1012500</v>
      </c>
      <c r="V409" s="42"/>
    </row>
    <row r="410" spans="1:22" s="47" customFormat="1" ht="20.25" customHeight="1">
      <c r="A410" s="118">
        <v>99</v>
      </c>
      <c r="B410" s="80" t="s">
        <v>46</v>
      </c>
      <c r="C410" s="344" t="s">
        <v>939</v>
      </c>
      <c r="D410" s="261" t="s">
        <v>940</v>
      </c>
      <c r="E410" s="80" t="s">
        <v>389</v>
      </c>
      <c r="F410" s="80" t="s">
        <v>1138</v>
      </c>
      <c r="G410" s="66">
        <v>15</v>
      </c>
      <c r="H410" s="83">
        <v>1200</v>
      </c>
      <c r="I410" s="82">
        <v>4</v>
      </c>
      <c r="J410" s="84" t="s">
        <v>77</v>
      </c>
      <c r="K410" s="86">
        <v>1</v>
      </c>
      <c r="L410" s="82">
        <v>0</v>
      </c>
      <c r="M410" s="82">
        <f>G410*H410*5/100</f>
        <v>900</v>
      </c>
      <c r="N410" s="82">
        <f>M410*0.15*7</f>
        <v>945</v>
      </c>
      <c r="O410" s="82">
        <f>M410*6.6*7+N410*2</f>
        <v>43470</v>
      </c>
      <c r="P410" s="82">
        <v>1</v>
      </c>
      <c r="Q410" s="82">
        <v>1</v>
      </c>
      <c r="R410" s="82">
        <f t="shared" si="87"/>
        <v>1012500</v>
      </c>
      <c r="S410" s="82">
        <f>R410*Q410*P410*K410</f>
        <v>1012500</v>
      </c>
      <c r="T410" s="82">
        <f t="shared" si="88"/>
        <v>0</v>
      </c>
      <c r="U410" s="82">
        <f t="shared" si="83"/>
        <v>1012500</v>
      </c>
      <c r="V410" s="42"/>
    </row>
    <row r="411" spans="1:22" s="47" customFormat="1" ht="20.25" customHeight="1">
      <c r="A411" s="118">
        <v>100</v>
      </c>
      <c r="B411" s="80" t="s">
        <v>17</v>
      </c>
      <c r="C411" s="344" t="s">
        <v>662</v>
      </c>
      <c r="D411" s="261" t="s">
        <v>663</v>
      </c>
      <c r="E411" s="80" t="s">
        <v>378</v>
      </c>
      <c r="F411" s="80" t="s">
        <v>1138</v>
      </c>
      <c r="G411" s="66">
        <v>7</v>
      </c>
      <c r="H411" s="82">
        <v>1000</v>
      </c>
      <c r="I411" s="82">
        <v>2</v>
      </c>
      <c r="J411" s="84" t="s">
        <v>40</v>
      </c>
      <c r="K411" s="86">
        <v>1</v>
      </c>
      <c r="L411" s="82"/>
      <c r="M411" s="82">
        <f aca="true" t="shared" si="90" ref="M411:M420">G411*H411/5</f>
        <v>1400</v>
      </c>
      <c r="N411" s="82">
        <f>M411*0.15*5.5</f>
        <v>1155</v>
      </c>
      <c r="O411" s="82">
        <f t="shared" si="89"/>
        <v>53130</v>
      </c>
      <c r="P411" s="82">
        <v>1</v>
      </c>
      <c r="Q411" s="82">
        <v>1</v>
      </c>
      <c r="R411" s="82">
        <f t="shared" si="87"/>
        <v>1012500</v>
      </c>
      <c r="S411" s="82">
        <f aca="true" t="shared" si="91" ref="S411:S474">R411*Q411*P411*K411</f>
        <v>1012500</v>
      </c>
      <c r="T411" s="82">
        <f t="shared" si="88"/>
        <v>0</v>
      </c>
      <c r="U411" s="82">
        <f t="shared" si="83"/>
        <v>1012500</v>
      </c>
      <c r="V411" s="42"/>
    </row>
    <row r="412" spans="1:22" s="47" customFormat="1" ht="24.75" customHeight="1">
      <c r="A412" s="118">
        <v>101</v>
      </c>
      <c r="B412" s="80" t="s">
        <v>17</v>
      </c>
      <c r="C412" s="344" t="s">
        <v>665</v>
      </c>
      <c r="D412" s="261" t="s">
        <v>666</v>
      </c>
      <c r="E412" s="80" t="s">
        <v>386</v>
      </c>
      <c r="F412" s="80" t="s">
        <v>1138</v>
      </c>
      <c r="G412" s="66">
        <v>8</v>
      </c>
      <c r="H412" s="82">
        <v>500</v>
      </c>
      <c r="I412" s="82">
        <v>1</v>
      </c>
      <c r="J412" s="84" t="s">
        <v>62</v>
      </c>
      <c r="K412" s="136">
        <v>1</v>
      </c>
      <c r="L412" s="82">
        <v>0</v>
      </c>
      <c r="M412" s="82">
        <f t="shared" si="90"/>
        <v>800</v>
      </c>
      <c r="N412" s="82">
        <f aca="true" t="shared" si="92" ref="N412:N420">M412*0.15*5.5</f>
        <v>660</v>
      </c>
      <c r="O412" s="82">
        <f t="shared" si="89"/>
        <v>30360</v>
      </c>
      <c r="P412" s="82">
        <v>1</v>
      </c>
      <c r="Q412" s="82">
        <v>1</v>
      </c>
      <c r="R412" s="82">
        <f t="shared" si="87"/>
        <v>1012500</v>
      </c>
      <c r="S412" s="82">
        <f t="shared" si="91"/>
        <v>1012500</v>
      </c>
      <c r="T412" s="82">
        <f t="shared" si="88"/>
        <v>0</v>
      </c>
      <c r="U412" s="82">
        <f t="shared" si="83"/>
        <v>1012500</v>
      </c>
      <c r="V412" s="42"/>
    </row>
    <row r="413" spans="1:21" s="47" customFormat="1" ht="20.25" customHeight="1">
      <c r="A413" s="118">
        <v>102</v>
      </c>
      <c r="B413" s="80" t="s">
        <v>17</v>
      </c>
      <c r="C413" s="344" t="s">
        <v>810</v>
      </c>
      <c r="D413" s="261" t="s">
        <v>575</v>
      </c>
      <c r="E413" s="80" t="s">
        <v>389</v>
      </c>
      <c r="F413" s="80" t="s">
        <v>1138</v>
      </c>
      <c r="G413" s="66">
        <v>8</v>
      </c>
      <c r="H413" s="82">
        <v>400</v>
      </c>
      <c r="I413" s="82">
        <v>2</v>
      </c>
      <c r="J413" s="84" t="s">
        <v>993</v>
      </c>
      <c r="K413" s="136">
        <v>0</v>
      </c>
      <c r="L413" s="82">
        <v>1</v>
      </c>
      <c r="M413" s="82">
        <f t="shared" si="90"/>
        <v>640</v>
      </c>
      <c r="N413" s="82">
        <f t="shared" si="92"/>
        <v>528</v>
      </c>
      <c r="O413" s="82">
        <f t="shared" si="89"/>
        <v>24288</v>
      </c>
      <c r="P413" s="82">
        <v>1</v>
      </c>
      <c r="Q413" s="82">
        <v>1</v>
      </c>
      <c r="R413" s="82">
        <f t="shared" si="87"/>
        <v>1012500</v>
      </c>
      <c r="S413" s="82">
        <f t="shared" si="91"/>
        <v>0</v>
      </c>
      <c r="T413" s="82">
        <f t="shared" si="88"/>
        <v>1012500</v>
      </c>
      <c r="U413" s="82">
        <f t="shared" si="83"/>
        <v>1012500</v>
      </c>
    </row>
    <row r="414" spans="1:22" s="47" customFormat="1" ht="20.25" customHeight="1">
      <c r="A414" s="118">
        <v>103</v>
      </c>
      <c r="B414" s="80" t="s">
        <v>17</v>
      </c>
      <c r="C414" s="344" t="s">
        <v>667</v>
      </c>
      <c r="D414" s="261" t="s">
        <v>668</v>
      </c>
      <c r="E414" s="80" t="s">
        <v>389</v>
      </c>
      <c r="F414" s="80" t="s">
        <v>1138</v>
      </c>
      <c r="G414" s="66">
        <v>6</v>
      </c>
      <c r="H414" s="82">
        <v>600</v>
      </c>
      <c r="I414" s="82">
        <v>3</v>
      </c>
      <c r="J414" s="84" t="s">
        <v>62</v>
      </c>
      <c r="K414" s="86">
        <v>1</v>
      </c>
      <c r="L414" s="82">
        <v>0</v>
      </c>
      <c r="M414" s="82">
        <f t="shared" si="90"/>
        <v>720</v>
      </c>
      <c r="N414" s="82">
        <f t="shared" si="92"/>
        <v>594</v>
      </c>
      <c r="O414" s="82">
        <f t="shared" si="89"/>
        <v>27324</v>
      </c>
      <c r="P414" s="82">
        <v>1</v>
      </c>
      <c r="Q414" s="82">
        <v>1</v>
      </c>
      <c r="R414" s="82">
        <f t="shared" si="87"/>
        <v>1012500</v>
      </c>
      <c r="S414" s="82">
        <f t="shared" si="91"/>
        <v>1012500</v>
      </c>
      <c r="T414" s="82">
        <f t="shared" si="88"/>
        <v>0</v>
      </c>
      <c r="U414" s="82">
        <f t="shared" si="83"/>
        <v>1012500</v>
      </c>
      <c r="V414" s="42"/>
    </row>
    <row r="415" spans="1:22" s="47" customFormat="1" ht="20.25" customHeight="1">
      <c r="A415" s="118">
        <v>104</v>
      </c>
      <c r="B415" s="80" t="s">
        <v>17</v>
      </c>
      <c r="C415" s="344" t="s">
        <v>671</v>
      </c>
      <c r="D415" s="105" t="s">
        <v>543</v>
      </c>
      <c r="E415" s="80" t="s">
        <v>378</v>
      </c>
      <c r="F415" s="80" t="s">
        <v>1468</v>
      </c>
      <c r="G415" s="66">
        <v>7</v>
      </c>
      <c r="H415" s="82">
        <v>300</v>
      </c>
      <c r="I415" s="82">
        <v>1</v>
      </c>
      <c r="J415" s="84" t="s">
        <v>77</v>
      </c>
      <c r="K415" s="86">
        <v>1</v>
      </c>
      <c r="L415" s="82">
        <v>0</v>
      </c>
      <c r="M415" s="82">
        <f t="shared" si="90"/>
        <v>420</v>
      </c>
      <c r="N415" s="82">
        <f t="shared" si="92"/>
        <v>346.5</v>
      </c>
      <c r="O415" s="82">
        <f t="shared" si="89"/>
        <v>15939</v>
      </c>
      <c r="P415" s="82">
        <v>1</v>
      </c>
      <c r="Q415" s="82">
        <v>1</v>
      </c>
      <c r="R415" s="82">
        <f t="shared" si="87"/>
        <v>1012500</v>
      </c>
      <c r="S415" s="82">
        <f t="shared" si="91"/>
        <v>1012500</v>
      </c>
      <c r="T415" s="82">
        <f t="shared" si="88"/>
        <v>0</v>
      </c>
      <c r="U415" s="82">
        <f t="shared" si="83"/>
        <v>1012500</v>
      </c>
      <c r="V415" s="42"/>
    </row>
    <row r="416" spans="1:22" s="47" customFormat="1" ht="20.25" customHeight="1">
      <c r="A416" s="118">
        <v>105</v>
      </c>
      <c r="B416" s="80" t="s">
        <v>17</v>
      </c>
      <c r="C416" s="345" t="s">
        <v>848</v>
      </c>
      <c r="D416" s="105" t="s">
        <v>670</v>
      </c>
      <c r="E416" s="80" t="s">
        <v>374</v>
      </c>
      <c r="F416" s="80" t="s">
        <v>1138</v>
      </c>
      <c r="G416" s="66">
        <v>9</v>
      </c>
      <c r="H416" s="82">
        <v>150</v>
      </c>
      <c r="I416" s="82">
        <v>1</v>
      </c>
      <c r="J416" s="84" t="s">
        <v>62</v>
      </c>
      <c r="K416" s="86">
        <v>1</v>
      </c>
      <c r="L416" s="82">
        <v>0</v>
      </c>
      <c r="M416" s="82">
        <f t="shared" si="90"/>
        <v>270</v>
      </c>
      <c r="N416" s="82">
        <f t="shared" si="92"/>
        <v>222.75</v>
      </c>
      <c r="O416" s="82">
        <f t="shared" si="89"/>
        <v>10246.5</v>
      </c>
      <c r="P416" s="82">
        <v>1</v>
      </c>
      <c r="Q416" s="82">
        <v>1</v>
      </c>
      <c r="R416" s="82">
        <f t="shared" si="87"/>
        <v>1012500</v>
      </c>
      <c r="S416" s="82">
        <f t="shared" si="91"/>
        <v>1012500</v>
      </c>
      <c r="T416" s="82">
        <f t="shared" si="88"/>
        <v>0</v>
      </c>
      <c r="U416" s="82">
        <f t="shared" si="83"/>
        <v>1012500</v>
      </c>
      <c r="V416" s="42"/>
    </row>
    <row r="417" spans="1:21" s="47" customFormat="1" ht="20.25" customHeight="1">
      <c r="A417" s="118">
        <v>106</v>
      </c>
      <c r="B417" s="80" t="s">
        <v>17</v>
      </c>
      <c r="C417" s="344" t="s">
        <v>931</v>
      </c>
      <c r="D417" s="261" t="s">
        <v>672</v>
      </c>
      <c r="E417" s="80" t="s">
        <v>402</v>
      </c>
      <c r="F417" s="80" t="s">
        <v>1138</v>
      </c>
      <c r="G417" s="66">
        <v>7</v>
      </c>
      <c r="H417" s="82">
        <v>300</v>
      </c>
      <c r="I417" s="82">
        <v>1</v>
      </c>
      <c r="J417" s="84" t="s">
        <v>994</v>
      </c>
      <c r="K417" s="86">
        <v>0</v>
      </c>
      <c r="L417" s="82">
        <v>1</v>
      </c>
      <c r="M417" s="82">
        <f t="shared" si="90"/>
        <v>420</v>
      </c>
      <c r="N417" s="82">
        <f t="shared" si="92"/>
        <v>346.5</v>
      </c>
      <c r="O417" s="82">
        <f t="shared" si="89"/>
        <v>15939</v>
      </c>
      <c r="P417" s="82">
        <v>1</v>
      </c>
      <c r="Q417" s="82">
        <v>1</v>
      </c>
      <c r="R417" s="82">
        <f t="shared" si="87"/>
        <v>1012500</v>
      </c>
      <c r="S417" s="82">
        <f t="shared" si="91"/>
        <v>0</v>
      </c>
      <c r="T417" s="82">
        <f t="shared" si="88"/>
        <v>1012500</v>
      </c>
      <c r="U417" s="82">
        <f t="shared" si="83"/>
        <v>1012500</v>
      </c>
    </row>
    <row r="418" spans="1:22" s="47" customFormat="1" ht="20.25" customHeight="1">
      <c r="A418" s="118">
        <v>107</v>
      </c>
      <c r="B418" s="80" t="s">
        <v>17</v>
      </c>
      <c r="C418" s="344" t="s">
        <v>849</v>
      </c>
      <c r="D418" s="261" t="s">
        <v>454</v>
      </c>
      <c r="E418" s="80" t="s">
        <v>378</v>
      </c>
      <c r="F418" s="80" t="s">
        <v>1532</v>
      </c>
      <c r="G418" s="66">
        <v>5</v>
      </c>
      <c r="H418" s="82">
        <v>1000</v>
      </c>
      <c r="I418" s="82">
        <v>1</v>
      </c>
      <c r="J418" s="84" t="s">
        <v>77</v>
      </c>
      <c r="K418" s="86">
        <v>1</v>
      </c>
      <c r="L418" s="82">
        <v>0</v>
      </c>
      <c r="M418" s="82">
        <f t="shared" si="90"/>
        <v>1000</v>
      </c>
      <c r="N418" s="82">
        <f t="shared" si="92"/>
        <v>825</v>
      </c>
      <c r="O418" s="82">
        <f t="shared" si="89"/>
        <v>37950</v>
      </c>
      <c r="P418" s="82">
        <v>1</v>
      </c>
      <c r="Q418" s="82">
        <v>1</v>
      </c>
      <c r="R418" s="82">
        <f t="shared" si="87"/>
        <v>1012500</v>
      </c>
      <c r="S418" s="82">
        <f t="shared" si="91"/>
        <v>1012500</v>
      </c>
      <c r="T418" s="82">
        <f t="shared" si="88"/>
        <v>0</v>
      </c>
      <c r="U418" s="82">
        <f t="shared" si="83"/>
        <v>1012500</v>
      </c>
      <c r="V418" s="42"/>
    </row>
    <row r="419" spans="1:21" s="47" customFormat="1" ht="20.25" customHeight="1">
      <c r="A419" s="118">
        <v>108</v>
      </c>
      <c r="B419" s="80" t="s">
        <v>17</v>
      </c>
      <c r="C419" s="344" t="s">
        <v>673</v>
      </c>
      <c r="D419" s="261" t="s">
        <v>674</v>
      </c>
      <c r="E419" s="80" t="s">
        <v>386</v>
      </c>
      <c r="F419" s="80" t="s">
        <v>1138</v>
      </c>
      <c r="G419" s="66">
        <v>10</v>
      </c>
      <c r="H419" s="82">
        <v>1000</v>
      </c>
      <c r="I419" s="82">
        <v>3</v>
      </c>
      <c r="J419" s="84" t="s">
        <v>991</v>
      </c>
      <c r="K419" s="86">
        <v>0</v>
      </c>
      <c r="L419" s="82">
        <v>1</v>
      </c>
      <c r="M419" s="82">
        <f t="shared" si="90"/>
        <v>2000</v>
      </c>
      <c r="N419" s="82">
        <f>M419*0.15*5.5</f>
        <v>1650</v>
      </c>
      <c r="O419" s="82">
        <f>M419*6.6*5.5+N419*2</f>
        <v>75900</v>
      </c>
      <c r="P419" s="82">
        <v>1</v>
      </c>
      <c r="Q419" s="82">
        <v>1</v>
      </c>
      <c r="R419" s="82">
        <f t="shared" si="87"/>
        <v>1012500</v>
      </c>
      <c r="S419" s="82">
        <f t="shared" si="91"/>
        <v>0</v>
      </c>
      <c r="T419" s="82">
        <f t="shared" si="88"/>
        <v>1012500</v>
      </c>
      <c r="U419" s="82">
        <f t="shared" si="83"/>
        <v>1012500</v>
      </c>
    </row>
    <row r="420" spans="1:22" s="47" customFormat="1" ht="20.25" customHeight="1">
      <c r="A420" s="118">
        <v>109</v>
      </c>
      <c r="B420" s="80" t="s">
        <v>100</v>
      </c>
      <c r="C420" s="344" t="s">
        <v>675</v>
      </c>
      <c r="D420" s="261" t="s">
        <v>676</v>
      </c>
      <c r="E420" s="80" t="s">
        <v>402</v>
      </c>
      <c r="F420" s="80" t="s">
        <v>1138</v>
      </c>
      <c r="G420" s="66">
        <v>12</v>
      </c>
      <c r="H420" s="82">
        <v>1000</v>
      </c>
      <c r="I420" s="82">
        <v>2</v>
      </c>
      <c r="J420" s="84" t="s">
        <v>25</v>
      </c>
      <c r="K420" s="86">
        <v>1</v>
      </c>
      <c r="L420" s="82">
        <v>0</v>
      </c>
      <c r="M420" s="82">
        <f t="shared" si="90"/>
        <v>2400</v>
      </c>
      <c r="N420" s="82">
        <f t="shared" si="92"/>
        <v>1980</v>
      </c>
      <c r="O420" s="82">
        <f t="shared" si="89"/>
        <v>91080</v>
      </c>
      <c r="P420" s="82">
        <v>1</v>
      </c>
      <c r="Q420" s="82">
        <v>1</v>
      </c>
      <c r="R420" s="82">
        <f t="shared" si="87"/>
        <v>1012500</v>
      </c>
      <c r="S420" s="82">
        <f t="shared" si="91"/>
        <v>1012500</v>
      </c>
      <c r="T420" s="82">
        <f t="shared" si="88"/>
        <v>0</v>
      </c>
      <c r="U420" s="82">
        <f t="shared" si="83"/>
        <v>1012500</v>
      </c>
      <c r="V420" s="42"/>
    </row>
    <row r="421" spans="1:22" s="47" customFormat="1" ht="20.25" customHeight="1">
      <c r="A421" s="118">
        <v>110</v>
      </c>
      <c r="B421" s="80" t="s">
        <v>46</v>
      </c>
      <c r="C421" s="344" t="s">
        <v>677</v>
      </c>
      <c r="D421" s="261" t="s">
        <v>678</v>
      </c>
      <c r="E421" s="80" t="s">
        <v>374</v>
      </c>
      <c r="F421" s="80" t="s">
        <v>1138</v>
      </c>
      <c r="G421" s="66">
        <v>12</v>
      </c>
      <c r="H421" s="82">
        <v>600</v>
      </c>
      <c r="I421" s="82">
        <v>2</v>
      </c>
      <c r="J421" s="84" t="s">
        <v>25</v>
      </c>
      <c r="K421" s="86">
        <v>1</v>
      </c>
      <c r="L421" s="82">
        <v>0</v>
      </c>
      <c r="M421" s="82">
        <f>(4*H421/5)+(8*H421*5/100)</f>
        <v>720</v>
      </c>
      <c r="N421" s="82">
        <f>(4*H421/5*0.15*5.5)+(8*H421*5/100*0.15*7)</f>
        <v>648</v>
      </c>
      <c r="O421" s="82">
        <f>((H421*4/5*6.6*5.5)+(H421*4/5*5.5*0.15*2))+((H421*8*5/100*6.6*7)+(H421*8*5/100*0.15*7*2))</f>
        <v>29808</v>
      </c>
      <c r="P421" s="82">
        <v>1</v>
      </c>
      <c r="Q421" s="82">
        <v>1</v>
      </c>
      <c r="R421" s="82">
        <f t="shared" si="87"/>
        <v>1012500</v>
      </c>
      <c r="S421" s="82">
        <f t="shared" si="91"/>
        <v>1012500</v>
      </c>
      <c r="T421" s="82">
        <f t="shared" si="88"/>
        <v>0</v>
      </c>
      <c r="U421" s="82">
        <f t="shared" si="83"/>
        <v>1012500</v>
      </c>
      <c r="V421" s="42"/>
    </row>
    <row r="422" spans="1:22" s="47" customFormat="1" ht="20.25" customHeight="1">
      <c r="A422" s="118">
        <v>111</v>
      </c>
      <c r="B422" s="80" t="s">
        <v>46</v>
      </c>
      <c r="C422" s="344" t="s">
        <v>679</v>
      </c>
      <c r="D422" s="261" t="s">
        <v>678</v>
      </c>
      <c r="E422" s="80" t="s">
        <v>374</v>
      </c>
      <c r="F422" s="80" t="s">
        <v>1138</v>
      </c>
      <c r="G422" s="66">
        <v>12</v>
      </c>
      <c r="H422" s="82">
        <v>600</v>
      </c>
      <c r="I422" s="82">
        <v>2</v>
      </c>
      <c r="J422" s="84" t="s">
        <v>25</v>
      </c>
      <c r="K422" s="86">
        <v>1</v>
      </c>
      <c r="L422" s="82">
        <v>0</v>
      </c>
      <c r="M422" s="82">
        <f aca="true" t="shared" si="93" ref="M422:M453">G422*H422*5/100</f>
        <v>360</v>
      </c>
      <c r="N422" s="82">
        <f>M422*0.15*7</f>
        <v>378</v>
      </c>
      <c r="O422" s="82">
        <f>M422*6.6*7+N422*2</f>
        <v>17388</v>
      </c>
      <c r="P422" s="82">
        <v>1</v>
      </c>
      <c r="Q422" s="82">
        <v>1</v>
      </c>
      <c r="R422" s="82">
        <f t="shared" si="87"/>
        <v>1012500</v>
      </c>
      <c r="S422" s="82">
        <f t="shared" si="91"/>
        <v>1012500</v>
      </c>
      <c r="T422" s="82">
        <f t="shared" si="88"/>
        <v>0</v>
      </c>
      <c r="U422" s="82">
        <f t="shared" si="83"/>
        <v>1012500</v>
      </c>
      <c r="V422" s="42"/>
    </row>
    <row r="423" spans="1:22" s="61" customFormat="1" ht="20.25" customHeight="1">
      <c r="A423" s="118">
        <v>112</v>
      </c>
      <c r="B423" s="93" t="s">
        <v>46</v>
      </c>
      <c r="C423" s="344" t="s">
        <v>868</v>
      </c>
      <c r="D423" s="268" t="s">
        <v>1049</v>
      </c>
      <c r="E423" s="93" t="s">
        <v>396</v>
      </c>
      <c r="F423" s="93" t="s">
        <v>1138</v>
      </c>
      <c r="G423" s="94">
        <v>27</v>
      </c>
      <c r="H423" s="96">
        <v>1200</v>
      </c>
      <c r="I423" s="96">
        <v>3</v>
      </c>
      <c r="J423" s="97" t="s">
        <v>1452</v>
      </c>
      <c r="K423" s="195">
        <v>1</v>
      </c>
      <c r="L423" s="96">
        <v>1</v>
      </c>
      <c r="M423" s="82">
        <f t="shared" si="93"/>
        <v>1620</v>
      </c>
      <c r="N423" s="82">
        <f aca="true" t="shared" si="94" ref="N423:N481">M423*0.15*7</f>
        <v>1701</v>
      </c>
      <c r="O423" s="82">
        <f aca="true" t="shared" si="95" ref="O423:O481">M423*6.6*7+N423*2</f>
        <v>78246</v>
      </c>
      <c r="P423" s="96">
        <v>1</v>
      </c>
      <c r="Q423" s="96">
        <v>1</v>
      </c>
      <c r="R423" s="96">
        <f t="shared" si="87"/>
        <v>1012500</v>
      </c>
      <c r="S423" s="96">
        <f t="shared" si="91"/>
        <v>1012500</v>
      </c>
      <c r="T423" s="96">
        <f t="shared" si="88"/>
        <v>1012500</v>
      </c>
      <c r="U423" s="96">
        <f t="shared" si="83"/>
        <v>2025000</v>
      </c>
      <c r="V423" s="42"/>
    </row>
    <row r="424" spans="1:22" s="47" customFormat="1" ht="20.25" customHeight="1">
      <c r="A424" s="118">
        <v>113</v>
      </c>
      <c r="B424" s="80" t="s">
        <v>46</v>
      </c>
      <c r="C424" s="344" t="s">
        <v>708</v>
      </c>
      <c r="D424" s="261" t="s">
        <v>1049</v>
      </c>
      <c r="E424" s="80" t="s">
        <v>396</v>
      </c>
      <c r="F424" s="80" t="s">
        <v>1138</v>
      </c>
      <c r="G424" s="66">
        <v>11</v>
      </c>
      <c r="H424" s="82">
        <v>1200</v>
      </c>
      <c r="I424" s="82">
        <v>1</v>
      </c>
      <c r="J424" s="84" t="s">
        <v>1437</v>
      </c>
      <c r="K424" s="86">
        <v>1</v>
      </c>
      <c r="L424" s="82">
        <v>1</v>
      </c>
      <c r="M424" s="82">
        <f t="shared" si="93"/>
        <v>660</v>
      </c>
      <c r="N424" s="82">
        <f t="shared" si="94"/>
        <v>693</v>
      </c>
      <c r="O424" s="82">
        <f t="shared" si="95"/>
        <v>31878</v>
      </c>
      <c r="P424" s="82">
        <v>1</v>
      </c>
      <c r="Q424" s="82">
        <v>1</v>
      </c>
      <c r="R424" s="82">
        <f t="shared" si="87"/>
        <v>1012500</v>
      </c>
      <c r="S424" s="82">
        <f t="shared" si="91"/>
        <v>1012500</v>
      </c>
      <c r="T424" s="82">
        <f t="shared" si="88"/>
        <v>1012500</v>
      </c>
      <c r="U424" s="82">
        <f t="shared" si="83"/>
        <v>2025000</v>
      </c>
      <c r="V424" s="42"/>
    </row>
    <row r="425" spans="1:22" s="47" customFormat="1" ht="20.25" customHeight="1">
      <c r="A425" s="118">
        <v>114</v>
      </c>
      <c r="B425" s="80" t="s">
        <v>46</v>
      </c>
      <c r="C425" s="344" t="s">
        <v>709</v>
      </c>
      <c r="D425" s="261" t="s">
        <v>1049</v>
      </c>
      <c r="E425" s="80" t="s">
        <v>396</v>
      </c>
      <c r="F425" s="80" t="s">
        <v>1138</v>
      </c>
      <c r="G425" s="66">
        <v>11</v>
      </c>
      <c r="H425" s="82">
        <v>1200</v>
      </c>
      <c r="I425" s="82">
        <v>2</v>
      </c>
      <c r="J425" s="84" t="s">
        <v>1437</v>
      </c>
      <c r="K425" s="86">
        <v>1</v>
      </c>
      <c r="L425" s="82">
        <v>1</v>
      </c>
      <c r="M425" s="82">
        <f t="shared" si="93"/>
        <v>660</v>
      </c>
      <c r="N425" s="82">
        <f t="shared" si="94"/>
        <v>693</v>
      </c>
      <c r="O425" s="82">
        <f t="shared" si="95"/>
        <v>31878</v>
      </c>
      <c r="P425" s="82">
        <v>1</v>
      </c>
      <c r="Q425" s="82">
        <v>1</v>
      </c>
      <c r="R425" s="82">
        <f t="shared" si="87"/>
        <v>1012500</v>
      </c>
      <c r="S425" s="82">
        <f t="shared" si="91"/>
        <v>1012500</v>
      </c>
      <c r="T425" s="82">
        <f t="shared" si="88"/>
        <v>1012500</v>
      </c>
      <c r="U425" s="82">
        <f t="shared" si="83"/>
        <v>2025000</v>
      </c>
      <c r="V425" s="42"/>
    </row>
    <row r="426" spans="1:22" s="47" customFormat="1" ht="20.25" customHeight="1">
      <c r="A426" s="118">
        <v>115</v>
      </c>
      <c r="B426" s="80" t="s">
        <v>46</v>
      </c>
      <c r="C426" s="344" t="s">
        <v>710</v>
      </c>
      <c r="D426" s="261" t="s">
        <v>1049</v>
      </c>
      <c r="E426" s="80" t="s">
        <v>396</v>
      </c>
      <c r="F426" s="80" t="s">
        <v>1138</v>
      </c>
      <c r="G426" s="66">
        <v>11</v>
      </c>
      <c r="H426" s="82">
        <v>1200</v>
      </c>
      <c r="I426" s="82">
        <v>1</v>
      </c>
      <c r="J426" s="84" t="s">
        <v>1451</v>
      </c>
      <c r="K426" s="86">
        <v>1</v>
      </c>
      <c r="L426" s="82">
        <v>1</v>
      </c>
      <c r="M426" s="82">
        <f t="shared" si="93"/>
        <v>660</v>
      </c>
      <c r="N426" s="82">
        <f t="shared" si="94"/>
        <v>693</v>
      </c>
      <c r="O426" s="82">
        <f t="shared" si="95"/>
        <v>31878</v>
      </c>
      <c r="P426" s="82">
        <v>1</v>
      </c>
      <c r="Q426" s="82">
        <v>1</v>
      </c>
      <c r="R426" s="82">
        <f t="shared" si="87"/>
        <v>1012500</v>
      </c>
      <c r="S426" s="82">
        <f t="shared" si="91"/>
        <v>1012500</v>
      </c>
      <c r="T426" s="82">
        <f t="shared" si="88"/>
        <v>1012500</v>
      </c>
      <c r="U426" s="82">
        <f t="shared" si="83"/>
        <v>2025000</v>
      </c>
      <c r="V426" s="42"/>
    </row>
    <row r="427" spans="1:22" s="47" customFormat="1" ht="20.25" customHeight="1">
      <c r="A427" s="118">
        <v>116</v>
      </c>
      <c r="B427" s="80" t="s">
        <v>46</v>
      </c>
      <c r="C427" s="344" t="s">
        <v>711</v>
      </c>
      <c r="D427" s="261" t="s">
        <v>1049</v>
      </c>
      <c r="E427" s="80" t="s">
        <v>396</v>
      </c>
      <c r="F427" s="80" t="s">
        <v>1138</v>
      </c>
      <c r="G427" s="66">
        <v>11</v>
      </c>
      <c r="H427" s="82">
        <v>1200</v>
      </c>
      <c r="I427" s="82">
        <v>1</v>
      </c>
      <c r="J427" s="84" t="s">
        <v>1437</v>
      </c>
      <c r="K427" s="86">
        <v>1</v>
      </c>
      <c r="L427" s="82">
        <v>1</v>
      </c>
      <c r="M427" s="82">
        <f t="shared" si="93"/>
        <v>660</v>
      </c>
      <c r="N427" s="82">
        <f t="shared" si="94"/>
        <v>693</v>
      </c>
      <c r="O427" s="82">
        <f t="shared" si="95"/>
        <v>31878</v>
      </c>
      <c r="P427" s="82">
        <v>1</v>
      </c>
      <c r="Q427" s="82">
        <v>1</v>
      </c>
      <c r="R427" s="82">
        <f t="shared" si="87"/>
        <v>1012500</v>
      </c>
      <c r="S427" s="82">
        <f t="shared" si="91"/>
        <v>1012500</v>
      </c>
      <c r="T427" s="82">
        <f t="shared" si="88"/>
        <v>1012500</v>
      </c>
      <c r="U427" s="82">
        <f t="shared" si="83"/>
        <v>2025000</v>
      </c>
      <c r="V427" s="42"/>
    </row>
    <row r="428" spans="1:22" s="47" customFormat="1" ht="20.25" customHeight="1">
      <c r="A428" s="118">
        <v>117</v>
      </c>
      <c r="B428" s="80" t="s">
        <v>46</v>
      </c>
      <c r="C428" s="344" t="s">
        <v>712</v>
      </c>
      <c r="D428" s="261" t="s">
        <v>1049</v>
      </c>
      <c r="E428" s="80" t="s">
        <v>396</v>
      </c>
      <c r="F428" s="80" t="s">
        <v>1138</v>
      </c>
      <c r="G428" s="66">
        <v>11</v>
      </c>
      <c r="H428" s="82">
        <v>1200</v>
      </c>
      <c r="I428" s="82">
        <v>1</v>
      </c>
      <c r="J428" s="84" t="s">
        <v>1437</v>
      </c>
      <c r="K428" s="86">
        <v>1</v>
      </c>
      <c r="L428" s="82">
        <v>1</v>
      </c>
      <c r="M428" s="82">
        <f t="shared" si="93"/>
        <v>660</v>
      </c>
      <c r="N428" s="82">
        <f t="shared" si="94"/>
        <v>693</v>
      </c>
      <c r="O428" s="82">
        <f t="shared" si="95"/>
        <v>31878</v>
      </c>
      <c r="P428" s="82">
        <v>1</v>
      </c>
      <c r="Q428" s="82">
        <v>1</v>
      </c>
      <c r="R428" s="82">
        <f t="shared" si="87"/>
        <v>1012500</v>
      </c>
      <c r="S428" s="82">
        <f t="shared" si="91"/>
        <v>1012500</v>
      </c>
      <c r="T428" s="82">
        <f t="shared" si="88"/>
        <v>1012500</v>
      </c>
      <c r="U428" s="82">
        <f aca="true" t="shared" si="96" ref="U428:U495">S428+T428</f>
        <v>2025000</v>
      </c>
      <c r="V428" s="42"/>
    </row>
    <row r="429" spans="1:22" s="47" customFormat="1" ht="20.25" customHeight="1">
      <c r="A429" s="118">
        <v>118</v>
      </c>
      <c r="B429" s="80" t="s">
        <v>46</v>
      </c>
      <c r="C429" s="344" t="s">
        <v>713</v>
      </c>
      <c r="D429" s="261" t="s">
        <v>1049</v>
      </c>
      <c r="E429" s="80" t="s">
        <v>396</v>
      </c>
      <c r="F429" s="80" t="s">
        <v>1138</v>
      </c>
      <c r="G429" s="66">
        <v>11</v>
      </c>
      <c r="H429" s="82">
        <v>1200</v>
      </c>
      <c r="I429" s="82">
        <v>2</v>
      </c>
      <c r="J429" s="84" t="s">
        <v>1437</v>
      </c>
      <c r="K429" s="86">
        <v>1</v>
      </c>
      <c r="L429" s="82">
        <v>1</v>
      </c>
      <c r="M429" s="82">
        <f t="shared" si="93"/>
        <v>660</v>
      </c>
      <c r="N429" s="82">
        <f t="shared" si="94"/>
        <v>693</v>
      </c>
      <c r="O429" s="82">
        <f t="shared" si="95"/>
        <v>31878</v>
      </c>
      <c r="P429" s="82">
        <v>1</v>
      </c>
      <c r="Q429" s="82">
        <v>1</v>
      </c>
      <c r="R429" s="82">
        <f t="shared" si="87"/>
        <v>1012500</v>
      </c>
      <c r="S429" s="82">
        <f t="shared" si="91"/>
        <v>1012500</v>
      </c>
      <c r="T429" s="82">
        <f t="shared" si="88"/>
        <v>1012500</v>
      </c>
      <c r="U429" s="82">
        <f t="shared" si="96"/>
        <v>2025000</v>
      </c>
      <c r="V429" s="42"/>
    </row>
    <row r="430" spans="1:22" s="47" customFormat="1" ht="20.25" customHeight="1">
      <c r="A430" s="118">
        <v>119</v>
      </c>
      <c r="B430" s="80" t="s">
        <v>46</v>
      </c>
      <c r="C430" s="344" t="s">
        <v>714</v>
      </c>
      <c r="D430" s="261" t="s">
        <v>1049</v>
      </c>
      <c r="E430" s="80" t="s">
        <v>396</v>
      </c>
      <c r="F430" s="80" t="s">
        <v>1138</v>
      </c>
      <c r="G430" s="66">
        <v>11</v>
      </c>
      <c r="H430" s="82">
        <v>1200</v>
      </c>
      <c r="I430" s="82">
        <v>2</v>
      </c>
      <c r="J430" s="84" t="s">
        <v>1451</v>
      </c>
      <c r="K430" s="86">
        <v>1</v>
      </c>
      <c r="L430" s="82">
        <v>1</v>
      </c>
      <c r="M430" s="82">
        <f t="shared" si="93"/>
        <v>660</v>
      </c>
      <c r="N430" s="82">
        <f t="shared" si="94"/>
        <v>693</v>
      </c>
      <c r="O430" s="82">
        <f t="shared" si="95"/>
        <v>31878</v>
      </c>
      <c r="P430" s="82">
        <v>1</v>
      </c>
      <c r="Q430" s="82">
        <v>1</v>
      </c>
      <c r="R430" s="82">
        <f t="shared" si="87"/>
        <v>1012500</v>
      </c>
      <c r="S430" s="82">
        <f t="shared" si="91"/>
        <v>1012500</v>
      </c>
      <c r="T430" s="82">
        <f t="shared" si="88"/>
        <v>1012500</v>
      </c>
      <c r="U430" s="82">
        <f t="shared" si="96"/>
        <v>2025000</v>
      </c>
      <c r="V430" s="42"/>
    </row>
    <row r="431" spans="1:22" s="47" customFormat="1" ht="20.25" customHeight="1">
      <c r="A431" s="118">
        <v>120</v>
      </c>
      <c r="B431" s="80" t="s">
        <v>46</v>
      </c>
      <c r="C431" s="344" t="s">
        <v>715</v>
      </c>
      <c r="D431" s="261" t="s">
        <v>1049</v>
      </c>
      <c r="E431" s="80" t="s">
        <v>396</v>
      </c>
      <c r="F431" s="80" t="s">
        <v>1138</v>
      </c>
      <c r="G431" s="66">
        <v>11</v>
      </c>
      <c r="H431" s="82">
        <v>1000</v>
      </c>
      <c r="I431" s="82">
        <v>1</v>
      </c>
      <c r="J431" s="84" t="s">
        <v>1349</v>
      </c>
      <c r="K431" s="82">
        <v>1</v>
      </c>
      <c r="L431" s="82">
        <v>1</v>
      </c>
      <c r="M431" s="82">
        <f t="shared" si="93"/>
        <v>550</v>
      </c>
      <c r="N431" s="82">
        <f t="shared" si="94"/>
        <v>577.5</v>
      </c>
      <c r="O431" s="82">
        <f t="shared" si="95"/>
        <v>26565</v>
      </c>
      <c r="P431" s="82">
        <v>1</v>
      </c>
      <c r="Q431" s="82">
        <v>1</v>
      </c>
      <c r="R431" s="82">
        <f t="shared" si="87"/>
        <v>1012500</v>
      </c>
      <c r="S431" s="82">
        <f>R431*Q431*P431*K431</f>
        <v>1012500</v>
      </c>
      <c r="T431" s="82">
        <f>L431*P431*Q431*R431</f>
        <v>1012500</v>
      </c>
      <c r="U431" s="82">
        <f>S431+T431</f>
        <v>2025000</v>
      </c>
      <c r="V431" s="42"/>
    </row>
    <row r="432" spans="1:22" s="47" customFormat="1" ht="20.25" customHeight="1">
      <c r="A432" s="118">
        <v>121</v>
      </c>
      <c r="B432" s="80" t="s">
        <v>46</v>
      </c>
      <c r="C432" s="344" t="s">
        <v>716</v>
      </c>
      <c r="D432" s="261" t="s">
        <v>1049</v>
      </c>
      <c r="E432" s="80" t="s">
        <v>396</v>
      </c>
      <c r="F432" s="80" t="s">
        <v>1138</v>
      </c>
      <c r="G432" s="66">
        <v>11</v>
      </c>
      <c r="H432" s="82">
        <v>1000</v>
      </c>
      <c r="I432" s="82">
        <v>1</v>
      </c>
      <c r="J432" s="84" t="s">
        <v>1431</v>
      </c>
      <c r="K432" s="82">
        <v>1</v>
      </c>
      <c r="L432" s="82">
        <v>1</v>
      </c>
      <c r="M432" s="82">
        <f t="shared" si="93"/>
        <v>550</v>
      </c>
      <c r="N432" s="82">
        <f t="shared" si="94"/>
        <v>577.5</v>
      </c>
      <c r="O432" s="82">
        <f t="shared" si="95"/>
        <v>26565</v>
      </c>
      <c r="P432" s="82">
        <v>1</v>
      </c>
      <c r="Q432" s="82">
        <v>1</v>
      </c>
      <c r="R432" s="82">
        <f t="shared" si="87"/>
        <v>1012500</v>
      </c>
      <c r="S432" s="82">
        <f t="shared" si="91"/>
        <v>1012500</v>
      </c>
      <c r="T432" s="82">
        <f t="shared" si="88"/>
        <v>1012500</v>
      </c>
      <c r="U432" s="82">
        <f t="shared" si="96"/>
        <v>2025000</v>
      </c>
      <c r="V432" s="42"/>
    </row>
    <row r="433" spans="1:22" s="47" customFormat="1" ht="20.25" customHeight="1">
      <c r="A433" s="118">
        <v>122</v>
      </c>
      <c r="B433" s="80" t="s">
        <v>46</v>
      </c>
      <c r="C433" s="344" t="s">
        <v>717</v>
      </c>
      <c r="D433" s="261" t="s">
        <v>1049</v>
      </c>
      <c r="E433" s="80" t="s">
        <v>396</v>
      </c>
      <c r="F433" s="80" t="s">
        <v>1138</v>
      </c>
      <c r="G433" s="66">
        <v>11</v>
      </c>
      <c r="H433" s="82">
        <v>1000</v>
      </c>
      <c r="I433" s="82">
        <v>1</v>
      </c>
      <c r="J433" s="84" t="s">
        <v>1431</v>
      </c>
      <c r="K433" s="82">
        <v>1</v>
      </c>
      <c r="L433" s="82">
        <v>1</v>
      </c>
      <c r="M433" s="82">
        <f t="shared" si="93"/>
        <v>550</v>
      </c>
      <c r="N433" s="82">
        <f t="shared" si="94"/>
        <v>577.5</v>
      </c>
      <c r="O433" s="82">
        <f t="shared" si="95"/>
        <v>26565</v>
      </c>
      <c r="P433" s="82">
        <v>1</v>
      </c>
      <c r="Q433" s="82">
        <v>1</v>
      </c>
      <c r="R433" s="82">
        <f t="shared" si="87"/>
        <v>1012500</v>
      </c>
      <c r="S433" s="82">
        <f t="shared" si="91"/>
        <v>1012500</v>
      </c>
      <c r="T433" s="82">
        <f t="shared" si="88"/>
        <v>1012500</v>
      </c>
      <c r="U433" s="82">
        <f t="shared" si="96"/>
        <v>2025000</v>
      </c>
      <c r="V433" s="42"/>
    </row>
    <row r="434" spans="1:22" s="47" customFormat="1" ht="20.25" customHeight="1">
      <c r="A434" s="118">
        <v>123</v>
      </c>
      <c r="B434" s="80" t="s">
        <v>46</v>
      </c>
      <c r="C434" s="344" t="s">
        <v>718</v>
      </c>
      <c r="D434" s="261" t="s">
        <v>1049</v>
      </c>
      <c r="E434" s="80" t="s">
        <v>396</v>
      </c>
      <c r="F434" s="80" t="s">
        <v>1138</v>
      </c>
      <c r="G434" s="66">
        <v>11</v>
      </c>
      <c r="H434" s="82">
        <v>1000</v>
      </c>
      <c r="I434" s="82">
        <v>2</v>
      </c>
      <c r="J434" s="84" t="s">
        <v>1432</v>
      </c>
      <c r="K434" s="82">
        <v>1</v>
      </c>
      <c r="L434" s="82">
        <v>1</v>
      </c>
      <c r="M434" s="82">
        <f t="shared" si="93"/>
        <v>550</v>
      </c>
      <c r="N434" s="82">
        <f t="shared" si="94"/>
        <v>577.5</v>
      </c>
      <c r="O434" s="82">
        <f t="shared" si="95"/>
        <v>26565</v>
      </c>
      <c r="P434" s="82">
        <v>1</v>
      </c>
      <c r="Q434" s="82">
        <v>1</v>
      </c>
      <c r="R434" s="82">
        <f t="shared" si="87"/>
        <v>1012500</v>
      </c>
      <c r="S434" s="82">
        <f>R434*Q434*P434*K434</f>
        <v>1012500</v>
      </c>
      <c r="T434" s="82">
        <f>L434*P434*Q434*R434</f>
        <v>1012500</v>
      </c>
      <c r="U434" s="82">
        <f>S434+T434</f>
        <v>2025000</v>
      </c>
      <c r="V434" s="42"/>
    </row>
    <row r="435" spans="1:21" s="61" customFormat="1" ht="20.25" customHeight="1">
      <c r="A435" s="118">
        <v>124</v>
      </c>
      <c r="B435" s="93" t="s">
        <v>46</v>
      </c>
      <c r="C435" s="344" t="s">
        <v>719</v>
      </c>
      <c r="D435" s="268" t="s">
        <v>1049</v>
      </c>
      <c r="E435" s="93" t="s">
        <v>396</v>
      </c>
      <c r="F435" s="93" t="s">
        <v>1138</v>
      </c>
      <c r="G435" s="94">
        <v>11</v>
      </c>
      <c r="H435" s="96">
        <v>1000</v>
      </c>
      <c r="I435" s="96">
        <v>2</v>
      </c>
      <c r="J435" s="97" t="s">
        <v>62</v>
      </c>
      <c r="K435" s="96">
        <v>1</v>
      </c>
      <c r="L435" s="96">
        <v>0</v>
      </c>
      <c r="M435" s="82">
        <f t="shared" si="93"/>
        <v>550</v>
      </c>
      <c r="N435" s="82">
        <f t="shared" si="94"/>
        <v>577.5</v>
      </c>
      <c r="O435" s="82">
        <f t="shared" si="95"/>
        <v>26565</v>
      </c>
      <c r="P435" s="96">
        <v>1</v>
      </c>
      <c r="Q435" s="96">
        <v>1</v>
      </c>
      <c r="R435" s="96">
        <f t="shared" si="87"/>
        <v>1012500</v>
      </c>
      <c r="S435" s="96">
        <f>R435*Q435*P435*K435</f>
        <v>1012500</v>
      </c>
      <c r="T435" s="96">
        <f>L435*P435*Q435*R435</f>
        <v>0</v>
      </c>
      <c r="U435" s="96">
        <f>S435+T435</f>
        <v>1012500</v>
      </c>
    </row>
    <row r="436" spans="1:21" s="61" customFormat="1" ht="20.25" customHeight="1">
      <c r="A436" s="118">
        <v>125</v>
      </c>
      <c r="B436" s="93" t="s">
        <v>46</v>
      </c>
      <c r="C436" s="344" t="s">
        <v>720</v>
      </c>
      <c r="D436" s="268" t="s">
        <v>1049</v>
      </c>
      <c r="E436" s="93" t="s">
        <v>396</v>
      </c>
      <c r="F436" s="93" t="s">
        <v>1138</v>
      </c>
      <c r="G436" s="94">
        <v>11</v>
      </c>
      <c r="H436" s="96">
        <v>1000</v>
      </c>
      <c r="I436" s="96">
        <v>1</v>
      </c>
      <c r="J436" s="97" t="s">
        <v>77</v>
      </c>
      <c r="K436" s="96">
        <v>1</v>
      </c>
      <c r="L436" s="96">
        <v>0</v>
      </c>
      <c r="M436" s="82">
        <f t="shared" si="93"/>
        <v>550</v>
      </c>
      <c r="N436" s="82">
        <f t="shared" si="94"/>
        <v>577.5</v>
      </c>
      <c r="O436" s="82">
        <f t="shared" si="95"/>
        <v>26565</v>
      </c>
      <c r="P436" s="96">
        <v>1</v>
      </c>
      <c r="Q436" s="96">
        <v>1</v>
      </c>
      <c r="R436" s="96">
        <f t="shared" si="87"/>
        <v>1012500</v>
      </c>
      <c r="S436" s="96">
        <f t="shared" si="91"/>
        <v>1012500</v>
      </c>
      <c r="T436" s="96">
        <f t="shared" si="88"/>
        <v>0</v>
      </c>
      <c r="U436" s="96">
        <f t="shared" si="96"/>
        <v>1012500</v>
      </c>
    </row>
    <row r="437" spans="1:21" s="61" customFormat="1" ht="20.25" customHeight="1">
      <c r="A437" s="118">
        <v>126</v>
      </c>
      <c r="B437" s="93" t="s">
        <v>46</v>
      </c>
      <c r="C437" s="344" t="s">
        <v>721</v>
      </c>
      <c r="D437" s="268" t="s">
        <v>1049</v>
      </c>
      <c r="E437" s="93" t="s">
        <v>396</v>
      </c>
      <c r="F437" s="93" t="s">
        <v>1138</v>
      </c>
      <c r="G437" s="94">
        <v>11</v>
      </c>
      <c r="H437" s="96">
        <v>1000</v>
      </c>
      <c r="I437" s="96">
        <v>1</v>
      </c>
      <c r="J437" s="97" t="s">
        <v>77</v>
      </c>
      <c r="K437" s="96">
        <v>1</v>
      </c>
      <c r="L437" s="96">
        <v>0</v>
      </c>
      <c r="M437" s="82">
        <f t="shared" si="93"/>
        <v>550</v>
      </c>
      <c r="N437" s="82">
        <f t="shared" si="94"/>
        <v>577.5</v>
      </c>
      <c r="O437" s="82">
        <f t="shared" si="95"/>
        <v>26565</v>
      </c>
      <c r="P437" s="96">
        <v>1</v>
      </c>
      <c r="Q437" s="96">
        <v>1</v>
      </c>
      <c r="R437" s="96">
        <f t="shared" si="87"/>
        <v>1012500</v>
      </c>
      <c r="S437" s="96">
        <f>R437*Q437*P437*K437</f>
        <v>1012500</v>
      </c>
      <c r="T437" s="96">
        <f>L437*P437*Q437*R437</f>
        <v>0</v>
      </c>
      <c r="U437" s="96">
        <f>S437+T437</f>
        <v>1012500</v>
      </c>
    </row>
    <row r="438" spans="1:21" s="61" customFormat="1" ht="20.25" customHeight="1">
      <c r="A438" s="118">
        <v>127</v>
      </c>
      <c r="B438" s="93" t="s">
        <v>46</v>
      </c>
      <c r="C438" s="344" t="s">
        <v>722</v>
      </c>
      <c r="D438" s="268" t="s">
        <v>1049</v>
      </c>
      <c r="E438" s="93" t="s">
        <v>396</v>
      </c>
      <c r="F438" s="93" t="s">
        <v>1138</v>
      </c>
      <c r="G438" s="94">
        <v>11</v>
      </c>
      <c r="H438" s="96">
        <v>1000</v>
      </c>
      <c r="I438" s="96">
        <v>2</v>
      </c>
      <c r="J438" s="97" t="s">
        <v>62</v>
      </c>
      <c r="K438" s="96">
        <v>1</v>
      </c>
      <c r="L438" s="96">
        <v>0</v>
      </c>
      <c r="M438" s="82">
        <f t="shared" si="93"/>
        <v>550</v>
      </c>
      <c r="N438" s="82">
        <f t="shared" si="94"/>
        <v>577.5</v>
      </c>
      <c r="O438" s="82">
        <f t="shared" si="95"/>
        <v>26565</v>
      </c>
      <c r="P438" s="96">
        <v>1</v>
      </c>
      <c r="Q438" s="96">
        <v>1</v>
      </c>
      <c r="R438" s="96">
        <f t="shared" si="87"/>
        <v>1012500</v>
      </c>
      <c r="S438" s="96">
        <f t="shared" si="91"/>
        <v>1012500</v>
      </c>
      <c r="T438" s="96">
        <f t="shared" si="88"/>
        <v>0</v>
      </c>
      <c r="U438" s="96">
        <f t="shared" si="96"/>
        <v>1012500</v>
      </c>
    </row>
    <row r="439" spans="1:21" s="61" customFormat="1" ht="25.5" customHeight="1">
      <c r="A439" s="118">
        <v>128</v>
      </c>
      <c r="B439" s="93" t="s">
        <v>46</v>
      </c>
      <c r="C439" s="347" t="s">
        <v>777</v>
      </c>
      <c r="D439" s="268" t="s">
        <v>1049</v>
      </c>
      <c r="E439" s="93" t="s">
        <v>396</v>
      </c>
      <c r="F439" s="93" t="s">
        <v>1138</v>
      </c>
      <c r="G439" s="94">
        <v>11</v>
      </c>
      <c r="H439" s="96">
        <v>1000</v>
      </c>
      <c r="I439" s="96">
        <v>2</v>
      </c>
      <c r="J439" s="97" t="s">
        <v>77</v>
      </c>
      <c r="K439" s="96">
        <v>1</v>
      </c>
      <c r="L439" s="96">
        <v>0</v>
      </c>
      <c r="M439" s="82">
        <f t="shared" si="93"/>
        <v>550</v>
      </c>
      <c r="N439" s="82">
        <f t="shared" si="94"/>
        <v>577.5</v>
      </c>
      <c r="O439" s="82">
        <f t="shared" si="95"/>
        <v>26565</v>
      </c>
      <c r="P439" s="96">
        <v>1</v>
      </c>
      <c r="Q439" s="96">
        <v>1</v>
      </c>
      <c r="R439" s="96">
        <f t="shared" si="87"/>
        <v>1012500</v>
      </c>
      <c r="S439" s="96">
        <f t="shared" si="91"/>
        <v>1012500</v>
      </c>
      <c r="T439" s="96">
        <f t="shared" si="88"/>
        <v>0</v>
      </c>
      <c r="U439" s="96">
        <f t="shared" si="96"/>
        <v>1012500</v>
      </c>
    </row>
    <row r="440" spans="1:21" s="61" customFormat="1" ht="26.25" customHeight="1">
      <c r="A440" s="118">
        <v>129</v>
      </c>
      <c r="B440" s="93" t="s">
        <v>46</v>
      </c>
      <c r="C440" s="347" t="s">
        <v>778</v>
      </c>
      <c r="D440" s="268" t="s">
        <v>1049</v>
      </c>
      <c r="E440" s="93" t="s">
        <v>396</v>
      </c>
      <c r="F440" s="93" t="s">
        <v>1138</v>
      </c>
      <c r="G440" s="94">
        <v>11</v>
      </c>
      <c r="H440" s="96">
        <v>1000</v>
      </c>
      <c r="I440" s="96">
        <v>2</v>
      </c>
      <c r="J440" s="97" t="s">
        <v>77</v>
      </c>
      <c r="K440" s="96">
        <v>1</v>
      </c>
      <c r="L440" s="96">
        <v>0</v>
      </c>
      <c r="M440" s="82">
        <f t="shared" si="93"/>
        <v>550</v>
      </c>
      <c r="N440" s="82">
        <f t="shared" si="94"/>
        <v>577.5</v>
      </c>
      <c r="O440" s="82">
        <f t="shared" si="95"/>
        <v>26565</v>
      </c>
      <c r="P440" s="96">
        <v>1</v>
      </c>
      <c r="Q440" s="96">
        <v>1</v>
      </c>
      <c r="R440" s="96">
        <f t="shared" si="87"/>
        <v>1012500</v>
      </c>
      <c r="S440" s="96">
        <f t="shared" si="91"/>
        <v>1012500</v>
      </c>
      <c r="T440" s="96">
        <f t="shared" si="88"/>
        <v>0</v>
      </c>
      <c r="U440" s="96">
        <f t="shared" si="96"/>
        <v>1012500</v>
      </c>
    </row>
    <row r="441" spans="1:21" s="61" customFormat="1" ht="24.75" customHeight="1">
      <c r="A441" s="118">
        <v>130</v>
      </c>
      <c r="B441" s="93" t="s">
        <v>46</v>
      </c>
      <c r="C441" s="347" t="s">
        <v>779</v>
      </c>
      <c r="D441" s="268" t="s">
        <v>1049</v>
      </c>
      <c r="E441" s="93" t="s">
        <v>396</v>
      </c>
      <c r="F441" s="93" t="s">
        <v>1138</v>
      </c>
      <c r="G441" s="94">
        <v>11</v>
      </c>
      <c r="H441" s="96">
        <v>1000</v>
      </c>
      <c r="I441" s="96">
        <v>2</v>
      </c>
      <c r="J441" s="97" t="s">
        <v>77</v>
      </c>
      <c r="K441" s="96">
        <v>1</v>
      </c>
      <c r="L441" s="96">
        <v>0</v>
      </c>
      <c r="M441" s="82">
        <f t="shared" si="93"/>
        <v>550</v>
      </c>
      <c r="N441" s="82">
        <f t="shared" si="94"/>
        <v>577.5</v>
      </c>
      <c r="O441" s="82">
        <f t="shared" si="95"/>
        <v>26565</v>
      </c>
      <c r="P441" s="96">
        <v>1</v>
      </c>
      <c r="Q441" s="96">
        <v>1</v>
      </c>
      <c r="R441" s="96">
        <f t="shared" si="87"/>
        <v>1012500</v>
      </c>
      <c r="S441" s="96">
        <f t="shared" si="91"/>
        <v>1012500</v>
      </c>
      <c r="T441" s="96">
        <f t="shared" si="88"/>
        <v>0</v>
      </c>
      <c r="U441" s="96">
        <f t="shared" si="96"/>
        <v>1012500</v>
      </c>
    </row>
    <row r="442" spans="1:21" s="61" customFormat="1" ht="24" customHeight="1">
      <c r="A442" s="118">
        <v>131</v>
      </c>
      <c r="B442" s="93" t="s">
        <v>46</v>
      </c>
      <c r="C442" s="347" t="s">
        <v>780</v>
      </c>
      <c r="D442" s="268" t="s">
        <v>1049</v>
      </c>
      <c r="E442" s="93" t="s">
        <v>396</v>
      </c>
      <c r="F442" s="93" t="s">
        <v>1138</v>
      </c>
      <c r="G442" s="94">
        <v>11</v>
      </c>
      <c r="H442" s="96">
        <v>1000</v>
      </c>
      <c r="I442" s="96">
        <v>2</v>
      </c>
      <c r="J442" s="97" t="s">
        <v>77</v>
      </c>
      <c r="K442" s="96">
        <v>1</v>
      </c>
      <c r="L442" s="96">
        <v>0</v>
      </c>
      <c r="M442" s="82">
        <f t="shared" si="93"/>
        <v>550</v>
      </c>
      <c r="N442" s="82">
        <f t="shared" si="94"/>
        <v>577.5</v>
      </c>
      <c r="O442" s="82">
        <f t="shared" si="95"/>
        <v>26565</v>
      </c>
      <c r="P442" s="96">
        <v>1</v>
      </c>
      <c r="Q442" s="96">
        <v>1</v>
      </c>
      <c r="R442" s="96">
        <f aca="true" t="shared" si="97" ref="R442:R489">45*$R$2</f>
        <v>1012500</v>
      </c>
      <c r="S442" s="96">
        <f t="shared" si="91"/>
        <v>1012500</v>
      </c>
      <c r="T442" s="96">
        <f aca="true" t="shared" si="98" ref="T442:T485">L442*P442*Q442*R442</f>
        <v>0</v>
      </c>
      <c r="U442" s="96">
        <f t="shared" si="96"/>
        <v>1012500</v>
      </c>
    </row>
    <row r="443" spans="1:21" s="61" customFormat="1" ht="23.25" customHeight="1">
      <c r="A443" s="118">
        <v>132</v>
      </c>
      <c r="B443" s="93" t="s">
        <v>46</v>
      </c>
      <c r="C443" s="347" t="s">
        <v>781</v>
      </c>
      <c r="D443" s="268" t="s">
        <v>1049</v>
      </c>
      <c r="E443" s="93" t="s">
        <v>396</v>
      </c>
      <c r="F443" s="93" t="s">
        <v>1138</v>
      </c>
      <c r="G443" s="94">
        <v>11</v>
      </c>
      <c r="H443" s="96">
        <v>1000</v>
      </c>
      <c r="I443" s="96">
        <v>2</v>
      </c>
      <c r="J443" s="97" t="s">
        <v>77</v>
      </c>
      <c r="K443" s="96">
        <v>1</v>
      </c>
      <c r="L443" s="96">
        <v>0</v>
      </c>
      <c r="M443" s="82">
        <f t="shared" si="93"/>
        <v>550</v>
      </c>
      <c r="N443" s="82">
        <f t="shared" si="94"/>
        <v>577.5</v>
      </c>
      <c r="O443" s="82">
        <f t="shared" si="95"/>
        <v>26565</v>
      </c>
      <c r="P443" s="96">
        <v>1</v>
      </c>
      <c r="Q443" s="96">
        <v>1</v>
      </c>
      <c r="R443" s="96">
        <f t="shared" si="97"/>
        <v>1012500</v>
      </c>
      <c r="S443" s="96">
        <f t="shared" si="91"/>
        <v>1012500</v>
      </c>
      <c r="T443" s="96">
        <f t="shared" si="98"/>
        <v>0</v>
      </c>
      <c r="U443" s="96">
        <f t="shared" si="96"/>
        <v>1012500</v>
      </c>
    </row>
    <row r="444" spans="1:21" s="61" customFormat="1" ht="24" customHeight="1">
      <c r="A444" s="118">
        <v>133</v>
      </c>
      <c r="B444" s="93" t="s">
        <v>46</v>
      </c>
      <c r="C444" s="347" t="s">
        <v>782</v>
      </c>
      <c r="D444" s="268" t="s">
        <v>1049</v>
      </c>
      <c r="E444" s="93" t="s">
        <v>396</v>
      </c>
      <c r="F444" s="93" t="s">
        <v>1138</v>
      </c>
      <c r="G444" s="94">
        <v>11</v>
      </c>
      <c r="H444" s="96">
        <v>1000</v>
      </c>
      <c r="I444" s="96">
        <v>2</v>
      </c>
      <c r="J444" s="97" t="s">
        <v>77</v>
      </c>
      <c r="K444" s="96">
        <v>1</v>
      </c>
      <c r="L444" s="96">
        <v>0</v>
      </c>
      <c r="M444" s="82">
        <f t="shared" si="93"/>
        <v>550</v>
      </c>
      <c r="N444" s="82">
        <f t="shared" si="94"/>
        <v>577.5</v>
      </c>
      <c r="O444" s="82">
        <f t="shared" si="95"/>
        <v>26565</v>
      </c>
      <c r="P444" s="96">
        <v>1</v>
      </c>
      <c r="Q444" s="96">
        <v>1</v>
      </c>
      <c r="R444" s="96">
        <f t="shared" si="97"/>
        <v>1012500</v>
      </c>
      <c r="S444" s="96">
        <f t="shared" si="91"/>
        <v>1012500</v>
      </c>
      <c r="T444" s="96">
        <f t="shared" si="98"/>
        <v>0</v>
      </c>
      <c r="U444" s="96">
        <f t="shared" si="96"/>
        <v>1012500</v>
      </c>
    </row>
    <row r="445" spans="1:21" s="61" customFormat="1" ht="23.25" customHeight="1">
      <c r="A445" s="118">
        <v>134</v>
      </c>
      <c r="B445" s="93" t="s">
        <v>46</v>
      </c>
      <c r="C445" s="347" t="s">
        <v>783</v>
      </c>
      <c r="D445" s="268" t="s">
        <v>1049</v>
      </c>
      <c r="E445" s="93" t="s">
        <v>396</v>
      </c>
      <c r="F445" s="93" t="s">
        <v>1138</v>
      </c>
      <c r="G445" s="94">
        <v>11</v>
      </c>
      <c r="H445" s="96">
        <v>1000</v>
      </c>
      <c r="I445" s="96">
        <v>2</v>
      </c>
      <c r="J445" s="97" t="s">
        <v>77</v>
      </c>
      <c r="K445" s="96">
        <v>1</v>
      </c>
      <c r="L445" s="96">
        <v>0</v>
      </c>
      <c r="M445" s="82">
        <f t="shared" si="93"/>
        <v>550</v>
      </c>
      <c r="N445" s="82">
        <f t="shared" si="94"/>
        <v>577.5</v>
      </c>
      <c r="O445" s="82">
        <f t="shared" si="95"/>
        <v>26565</v>
      </c>
      <c r="P445" s="96">
        <v>1</v>
      </c>
      <c r="Q445" s="96">
        <v>1</v>
      </c>
      <c r="R445" s="96">
        <f t="shared" si="97"/>
        <v>1012500</v>
      </c>
      <c r="S445" s="96">
        <f t="shared" si="91"/>
        <v>1012500</v>
      </c>
      <c r="T445" s="96">
        <f t="shared" si="98"/>
        <v>0</v>
      </c>
      <c r="U445" s="96">
        <f t="shared" si="96"/>
        <v>1012500</v>
      </c>
    </row>
    <row r="446" spans="1:21" s="61" customFormat="1" ht="26.25" customHeight="1">
      <c r="A446" s="118">
        <v>135</v>
      </c>
      <c r="B446" s="93" t="s">
        <v>46</v>
      </c>
      <c r="C446" s="347" t="s">
        <v>784</v>
      </c>
      <c r="D446" s="268" t="s">
        <v>1049</v>
      </c>
      <c r="E446" s="93" t="s">
        <v>396</v>
      </c>
      <c r="F446" s="93" t="s">
        <v>1138</v>
      </c>
      <c r="G446" s="94">
        <v>11</v>
      </c>
      <c r="H446" s="96">
        <v>1000</v>
      </c>
      <c r="I446" s="96">
        <v>2</v>
      </c>
      <c r="J446" s="97" t="s">
        <v>77</v>
      </c>
      <c r="K446" s="96">
        <v>1</v>
      </c>
      <c r="L446" s="96">
        <v>0</v>
      </c>
      <c r="M446" s="82">
        <f t="shared" si="93"/>
        <v>550</v>
      </c>
      <c r="N446" s="82">
        <f t="shared" si="94"/>
        <v>577.5</v>
      </c>
      <c r="O446" s="82">
        <f t="shared" si="95"/>
        <v>26565</v>
      </c>
      <c r="P446" s="96">
        <v>1</v>
      </c>
      <c r="Q446" s="96">
        <v>1</v>
      </c>
      <c r="R446" s="96">
        <f t="shared" si="97"/>
        <v>1012500</v>
      </c>
      <c r="S446" s="96">
        <f t="shared" si="91"/>
        <v>1012500</v>
      </c>
      <c r="T446" s="96">
        <f t="shared" si="98"/>
        <v>0</v>
      </c>
      <c r="U446" s="96">
        <f t="shared" si="96"/>
        <v>1012500</v>
      </c>
    </row>
    <row r="447" spans="1:21" s="61" customFormat="1" ht="25.5" customHeight="1">
      <c r="A447" s="118">
        <v>136</v>
      </c>
      <c r="B447" s="93" t="s">
        <v>46</v>
      </c>
      <c r="C447" s="347" t="s">
        <v>785</v>
      </c>
      <c r="D447" s="268" t="s">
        <v>1049</v>
      </c>
      <c r="E447" s="93" t="s">
        <v>396</v>
      </c>
      <c r="F447" s="93" t="s">
        <v>1138</v>
      </c>
      <c r="G447" s="94">
        <v>11</v>
      </c>
      <c r="H447" s="96">
        <v>1000</v>
      </c>
      <c r="I447" s="96">
        <v>2</v>
      </c>
      <c r="J447" s="97" t="s">
        <v>77</v>
      </c>
      <c r="K447" s="96">
        <v>1</v>
      </c>
      <c r="L447" s="96">
        <v>0</v>
      </c>
      <c r="M447" s="82">
        <f t="shared" si="93"/>
        <v>550</v>
      </c>
      <c r="N447" s="82">
        <f t="shared" si="94"/>
        <v>577.5</v>
      </c>
      <c r="O447" s="82">
        <f t="shared" si="95"/>
        <v>26565</v>
      </c>
      <c r="P447" s="96">
        <v>1</v>
      </c>
      <c r="Q447" s="96">
        <v>1</v>
      </c>
      <c r="R447" s="96">
        <f t="shared" si="97"/>
        <v>1012500</v>
      </c>
      <c r="S447" s="96">
        <f t="shared" si="91"/>
        <v>1012500</v>
      </c>
      <c r="T447" s="96">
        <f t="shared" si="98"/>
        <v>0</v>
      </c>
      <c r="U447" s="96">
        <f t="shared" si="96"/>
        <v>1012500</v>
      </c>
    </row>
    <row r="448" spans="1:21" s="61" customFormat="1" ht="26.25" customHeight="1">
      <c r="A448" s="118">
        <v>137</v>
      </c>
      <c r="B448" s="93" t="s">
        <v>46</v>
      </c>
      <c r="C448" s="347" t="s">
        <v>786</v>
      </c>
      <c r="D448" s="268" t="s">
        <v>1049</v>
      </c>
      <c r="E448" s="93" t="s">
        <v>396</v>
      </c>
      <c r="F448" s="93" t="s">
        <v>1138</v>
      </c>
      <c r="G448" s="94">
        <v>11</v>
      </c>
      <c r="H448" s="96">
        <v>1000</v>
      </c>
      <c r="I448" s="96">
        <v>2</v>
      </c>
      <c r="J448" s="97" t="s">
        <v>77</v>
      </c>
      <c r="K448" s="96">
        <v>1</v>
      </c>
      <c r="L448" s="96">
        <v>0</v>
      </c>
      <c r="M448" s="82">
        <f t="shared" si="93"/>
        <v>550</v>
      </c>
      <c r="N448" s="82">
        <f t="shared" si="94"/>
        <v>577.5</v>
      </c>
      <c r="O448" s="82">
        <f t="shared" si="95"/>
        <v>26565</v>
      </c>
      <c r="P448" s="96">
        <v>1</v>
      </c>
      <c r="Q448" s="96">
        <v>1</v>
      </c>
      <c r="R448" s="96">
        <f t="shared" si="97"/>
        <v>1012500</v>
      </c>
      <c r="S448" s="96">
        <f t="shared" si="91"/>
        <v>1012500</v>
      </c>
      <c r="T448" s="96">
        <f t="shared" si="98"/>
        <v>0</v>
      </c>
      <c r="U448" s="96">
        <f t="shared" si="96"/>
        <v>1012500</v>
      </c>
    </row>
    <row r="449" spans="1:21" s="61" customFormat="1" ht="26.25" customHeight="1">
      <c r="A449" s="118">
        <v>138</v>
      </c>
      <c r="B449" s="93" t="s">
        <v>46</v>
      </c>
      <c r="C449" s="347" t="s">
        <v>787</v>
      </c>
      <c r="D449" s="268" t="s">
        <v>1049</v>
      </c>
      <c r="E449" s="93" t="s">
        <v>396</v>
      </c>
      <c r="F449" s="93" t="s">
        <v>1138</v>
      </c>
      <c r="G449" s="94">
        <v>11</v>
      </c>
      <c r="H449" s="96">
        <v>1000</v>
      </c>
      <c r="I449" s="96">
        <v>2</v>
      </c>
      <c r="J449" s="97" t="s">
        <v>77</v>
      </c>
      <c r="K449" s="96">
        <v>1</v>
      </c>
      <c r="L449" s="96">
        <v>0</v>
      </c>
      <c r="M449" s="82">
        <f t="shared" si="93"/>
        <v>550</v>
      </c>
      <c r="N449" s="82">
        <f t="shared" si="94"/>
        <v>577.5</v>
      </c>
      <c r="O449" s="82">
        <f t="shared" si="95"/>
        <v>26565</v>
      </c>
      <c r="P449" s="96">
        <v>1</v>
      </c>
      <c r="Q449" s="96">
        <v>1</v>
      </c>
      <c r="R449" s="96">
        <f t="shared" si="97"/>
        <v>1012500</v>
      </c>
      <c r="S449" s="96">
        <f t="shared" si="91"/>
        <v>1012500</v>
      </c>
      <c r="T449" s="96">
        <f t="shared" si="98"/>
        <v>0</v>
      </c>
      <c r="U449" s="96">
        <f t="shared" si="96"/>
        <v>1012500</v>
      </c>
    </row>
    <row r="450" spans="1:21" s="61" customFormat="1" ht="27" customHeight="1">
      <c r="A450" s="118">
        <v>139</v>
      </c>
      <c r="B450" s="93" t="s">
        <v>46</v>
      </c>
      <c r="C450" s="347" t="s">
        <v>788</v>
      </c>
      <c r="D450" s="268" t="s">
        <v>1049</v>
      </c>
      <c r="E450" s="93" t="s">
        <v>396</v>
      </c>
      <c r="F450" s="93" t="s">
        <v>1138</v>
      </c>
      <c r="G450" s="94">
        <v>11</v>
      </c>
      <c r="H450" s="96">
        <v>1000</v>
      </c>
      <c r="I450" s="96">
        <v>2</v>
      </c>
      <c r="J450" s="97" t="s">
        <v>77</v>
      </c>
      <c r="K450" s="96">
        <v>1</v>
      </c>
      <c r="L450" s="96">
        <v>0</v>
      </c>
      <c r="M450" s="82">
        <f t="shared" si="93"/>
        <v>550</v>
      </c>
      <c r="N450" s="82">
        <f t="shared" si="94"/>
        <v>577.5</v>
      </c>
      <c r="O450" s="82">
        <f t="shared" si="95"/>
        <v>26565</v>
      </c>
      <c r="P450" s="96">
        <v>1</v>
      </c>
      <c r="Q450" s="96">
        <v>1</v>
      </c>
      <c r="R450" s="96">
        <f t="shared" si="97"/>
        <v>1012500</v>
      </c>
      <c r="S450" s="96">
        <f t="shared" si="91"/>
        <v>1012500</v>
      </c>
      <c r="T450" s="96">
        <f t="shared" si="98"/>
        <v>0</v>
      </c>
      <c r="U450" s="96">
        <f t="shared" si="96"/>
        <v>1012500</v>
      </c>
    </row>
    <row r="451" spans="1:21" s="61" customFormat="1" ht="26.25" customHeight="1">
      <c r="A451" s="118">
        <v>140</v>
      </c>
      <c r="B451" s="93" t="s">
        <v>46</v>
      </c>
      <c r="C451" s="347" t="s">
        <v>789</v>
      </c>
      <c r="D451" s="268" t="s">
        <v>1049</v>
      </c>
      <c r="E451" s="93" t="s">
        <v>396</v>
      </c>
      <c r="F451" s="93" t="s">
        <v>1138</v>
      </c>
      <c r="G451" s="94">
        <v>11</v>
      </c>
      <c r="H451" s="96">
        <v>1000</v>
      </c>
      <c r="I451" s="96">
        <v>2</v>
      </c>
      <c r="J451" s="97" t="s">
        <v>77</v>
      </c>
      <c r="K451" s="96">
        <v>1</v>
      </c>
      <c r="L451" s="96">
        <v>0</v>
      </c>
      <c r="M451" s="82">
        <f t="shared" si="93"/>
        <v>550</v>
      </c>
      <c r="N451" s="82">
        <f t="shared" si="94"/>
        <v>577.5</v>
      </c>
      <c r="O451" s="82">
        <f t="shared" si="95"/>
        <v>26565</v>
      </c>
      <c r="P451" s="96">
        <v>1</v>
      </c>
      <c r="Q451" s="96">
        <v>1</v>
      </c>
      <c r="R451" s="96">
        <f t="shared" si="97"/>
        <v>1012500</v>
      </c>
      <c r="S451" s="96">
        <f t="shared" si="91"/>
        <v>1012500</v>
      </c>
      <c r="T451" s="96">
        <f t="shared" si="98"/>
        <v>0</v>
      </c>
      <c r="U451" s="96">
        <f t="shared" si="96"/>
        <v>1012500</v>
      </c>
    </row>
    <row r="452" spans="1:21" s="61" customFormat="1" ht="20.25" customHeight="1">
      <c r="A452" s="118">
        <v>141</v>
      </c>
      <c r="B452" s="93" t="s">
        <v>46</v>
      </c>
      <c r="C452" s="347" t="s">
        <v>790</v>
      </c>
      <c r="D452" s="268" t="s">
        <v>1049</v>
      </c>
      <c r="E452" s="93" t="s">
        <v>396</v>
      </c>
      <c r="F452" s="93" t="s">
        <v>1138</v>
      </c>
      <c r="G452" s="94">
        <v>11</v>
      </c>
      <c r="H452" s="96">
        <v>1000</v>
      </c>
      <c r="I452" s="96">
        <v>2</v>
      </c>
      <c r="J452" s="97" t="s">
        <v>77</v>
      </c>
      <c r="K452" s="96">
        <v>1</v>
      </c>
      <c r="L452" s="96">
        <v>0</v>
      </c>
      <c r="M452" s="82">
        <f t="shared" si="93"/>
        <v>550</v>
      </c>
      <c r="N452" s="82">
        <f t="shared" si="94"/>
        <v>577.5</v>
      </c>
      <c r="O452" s="82">
        <f t="shared" si="95"/>
        <v>26565</v>
      </c>
      <c r="P452" s="96">
        <v>1</v>
      </c>
      <c r="Q452" s="96">
        <v>1</v>
      </c>
      <c r="R452" s="96">
        <f t="shared" si="97"/>
        <v>1012500</v>
      </c>
      <c r="S452" s="96">
        <f t="shared" si="91"/>
        <v>1012500</v>
      </c>
      <c r="T452" s="96">
        <f t="shared" si="98"/>
        <v>0</v>
      </c>
      <c r="U452" s="96">
        <f t="shared" si="96"/>
        <v>1012500</v>
      </c>
    </row>
    <row r="453" spans="1:21" s="61" customFormat="1" ht="24" customHeight="1">
      <c r="A453" s="118">
        <v>142</v>
      </c>
      <c r="B453" s="93" t="s">
        <v>46</v>
      </c>
      <c r="C453" s="347" t="s">
        <v>791</v>
      </c>
      <c r="D453" s="268" t="s">
        <v>1049</v>
      </c>
      <c r="E453" s="93" t="s">
        <v>396</v>
      </c>
      <c r="F453" s="93" t="s">
        <v>1138</v>
      </c>
      <c r="G453" s="94">
        <v>11</v>
      </c>
      <c r="H453" s="96">
        <v>1000</v>
      </c>
      <c r="I453" s="96">
        <v>2</v>
      </c>
      <c r="J453" s="97" t="s">
        <v>77</v>
      </c>
      <c r="K453" s="96">
        <v>1</v>
      </c>
      <c r="L453" s="96">
        <v>0</v>
      </c>
      <c r="M453" s="82">
        <f t="shared" si="93"/>
        <v>550</v>
      </c>
      <c r="N453" s="82">
        <f t="shared" si="94"/>
        <v>577.5</v>
      </c>
      <c r="O453" s="82">
        <f t="shared" si="95"/>
        <v>26565</v>
      </c>
      <c r="P453" s="96">
        <v>1</v>
      </c>
      <c r="Q453" s="96">
        <v>1</v>
      </c>
      <c r="R453" s="96">
        <f t="shared" si="97"/>
        <v>1012500</v>
      </c>
      <c r="S453" s="96">
        <f t="shared" si="91"/>
        <v>1012500</v>
      </c>
      <c r="T453" s="96">
        <f t="shared" si="98"/>
        <v>0</v>
      </c>
      <c r="U453" s="96">
        <f t="shared" si="96"/>
        <v>1012500</v>
      </c>
    </row>
    <row r="454" spans="1:21" s="61" customFormat="1" ht="24.75" customHeight="1">
      <c r="A454" s="118">
        <v>143</v>
      </c>
      <c r="B454" s="93" t="s">
        <v>46</v>
      </c>
      <c r="C454" s="347" t="s">
        <v>792</v>
      </c>
      <c r="D454" s="268" t="s">
        <v>1049</v>
      </c>
      <c r="E454" s="93" t="s">
        <v>396</v>
      </c>
      <c r="F454" s="93" t="s">
        <v>1138</v>
      </c>
      <c r="G454" s="94">
        <v>11</v>
      </c>
      <c r="H454" s="96">
        <v>1000</v>
      </c>
      <c r="I454" s="96">
        <v>2</v>
      </c>
      <c r="J454" s="97" t="s">
        <v>77</v>
      </c>
      <c r="K454" s="96">
        <v>1</v>
      </c>
      <c r="L454" s="96">
        <v>0</v>
      </c>
      <c r="M454" s="82">
        <f aca="true" t="shared" si="99" ref="M454:M489">G454*H454*5/100</f>
        <v>550</v>
      </c>
      <c r="N454" s="82">
        <f t="shared" si="94"/>
        <v>577.5</v>
      </c>
      <c r="O454" s="82">
        <f t="shared" si="95"/>
        <v>26565</v>
      </c>
      <c r="P454" s="96">
        <v>1</v>
      </c>
      <c r="Q454" s="96">
        <v>1</v>
      </c>
      <c r="R454" s="96">
        <f t="shared" si="97"/>
        <v>1012500</v>
      </c>
      <c r="S454" s="96">
        <f t="shared" si="91"/>
        <v>1012500</v>
      </c>
      <c r="T454" s="96">
        <f t="shared" si="98"/>
        <v>0</v>
      </c>
      <c r="U454" s="96">
        <f t="shared" si="96"/>
        <v>1012500</v>
      </c>
    </row>
    <row r="455" spans="1:21" s="61" customFormat="1" ht="24.75" customHeight="1">
      <c r="A455" s="118">
        <v>144</v>
      </c>
      <c r="B455" s="93" t="s">
        <v>46</v>
      </c>
      <c r="C455" s="347" t="s">
        <v>793</v>
      </c>
      <c r="D455" s="268" t="s">
        <v>1049</v>
      </c>
      <c r="E455" s="93" t="s">
        <v>396</v>
      </c>
      <c r="F455" s="93" t="s">
        <v>1138</v>
      </c>
      <c r="G455" s="94">
        <v>11</v>
      </c>
      <c r="H455" s="96">
        <v>1000</v>
      </c>
      <c r="I455" s="96">
        <v>2</v>
      </c>
      <c r="J455" s="97" t="s">
        <v>62</v>
      </c>
      <c r="K455" s="96">
        <v>1</v>
      </c>
      <c r="L455" s="96">
        <v>0</v>
      </c>
      <c r="M455" s="82">
        <f t="shared" si="99"/>
        <v>550</v>
      </c>
      <c r="N455" s="82">
        <f t="shared" si="94"/>
        <v>577.5</v>
      </c>
      <c r="O455" s="82">
        <f t="shared" si="95"/>
        <v>26565</v>
      </c>
      <c r="P455" s="96">
        <v>1</v>
      </c>
      <c r="Q455" s="96">
        <v>1</v>
      </c>
      <c r="R455" s="96">
        <f t="shared" si="97"/>
        <v>1012500</v>
      </c>
      <c r="S455" s="96">
        <f t="shared" si="91"/>
        <v>1012500</v>
      </c>
      <c r="T455" s="96">
        <f t="shared" si="98"/>
        <v>0</v>
      </c>
      <c r="U455" s="96">
        <f t="shared" si="96"/>
        <v>1012500</v>
      </c>
    </row>
    <row r="456" spans="1:21" s="61" customFormat="1" ht="25.5" customHeight="1">
      <c r="A456" s="118">
        <v>145</v>
      </c>
      <c r="B456" s="93" t="s">
        <v>46</v>
      </c>
      <c r="C456" s="347" t="s">
        <v>794</v>
      </c>
      <c r="D456" s="268" t="s">
        <v>1049</v>
      </c>
      <c r="E456" s="93" t="s">
        <v>396</v>
      </c>
      <c r="F456" s="93" t="s">
        <v>1138</v>
      </c>
      <c r="G456" s="94">
        <v>11</v>
      </c>
      <c r="H456" s="96">
        <v>1000</v>
      </c>
      <c r="I456" s="96">
        <v>2</v>
      </c>
      <c r="J456" s="97" t="s">
        <v>77</v>
      </c>
      <c r="K456" s="96">
        <v>1</v>
      </c>
      <c r="L456" s="96">
        <v>0</v>
      </c>
      <c r="M456" s="82">
        <f t="shared" si="99"/>
        <v>550</v>
      </c>
      <c r="N456" s="82">
        <f t="shared" si="94"/>
        <v>577.5</v>
      </c>
      <c r="O456" s="82">
        <f t="shared" si="95"/>
        <v>26565</v>
      </c>
      <c r="P456" s="96">
        <v>1</v>
      </c>
      <c r="Q456" s="96">
        <v>1</v>
      </c>
      <c r="R456" s="96">
        <f t="shared" si="97"/>
        <v>1012500</v>
      </c>
      <c r="S456" s="96">
        <f t="shared" si="91"/>
        <v>1012500</v>
      </c>
      <c r="T456" s="96">
        <f t="shared" si="98"/>
        <v>0</v>
      </c>
      <c r="U456" s="96">
        <f t="shared" si="96"/>
        <v>1012500</v>
      </c>
    </row>
    <row r="457" spans="1:21" s="61" customFormat="1" ht="25.5" customHeight="1">
      <c r="A457" s="118">
        <v>146</v>
      </c>
      <c r="B457" s="93" t="s">
        <v>46</v>
      </c>
      <c r="C457" s="347" t="s">
        <v>795</v>
      </c>
      <c r="D457" s="268" t="s">
        <v>1049</v>
      </c>
      <c r="E457" s="93" t="s">
        <v>396</v>
      </c>
      <c r="F457" s="93" t="s">
        <v>1138</v>
      </c>
      <c r="G457" s="94">
        <v>11</v>
      </c>
      <c r="H457" s="96">
        <v>1000</v>
      </c>
      <c r="I457" s="96">
        <v>2</v>
      </c>
      <c r="J457" s="97" t="s">
        <v>77</v>
      </c>
      <c r="K457" s="96">
        <v>1</v>
      </c>
      <c r="L457" s="96">
        <v>0</v>
      </c>
      <c r="M457" s="82">
        <f t="shared" si="99"/>
        <v>550</v>
      </c>
      <c r="N457" s="82">
        <f t="shared" si="94"/>
        <v>577.5</v>
      </c>
      <c r="O457" s="82">
        <f t="shared" si="95"/>
        <v>26565</v>
      </c>
      <c r="P457" s="96">
        <v>1</v>
      </c>
      <c r="Q457" s="96">
        <v>1</v>
      </c>
      <c r="R457" s="96">
        <f t="shared" si="97"/>
        <v>1012500</v>
      </c>
      <c r="S457" s="96">
        <f t="shared" si="91"/>
        <v>1012500</v>
      </c>
      <c r="T457" s="96">
        <f t="shared" si="98"/>
        <v>0</v>
      </c>
      <c r="U457" s="96">
        <f t="shared" si="96"/>
        <v>1012500</v>
      </c>
    </row>
    <row r="458" spans="1:21" s="61" customFormat="1" ht="26.25" customHeight="1">
      <c r="A458" s="118">
        <v>147</v>
      </c>
      <c r="B458" s="93" t="s">
        <v>46</v>
      </c>
      <c r="C458" s="347" t="s">
        <v>796</v>
      </c>
      <c r="D458" s="268" t="s">
        <v>1049</v>
      </c>
      <c r="E458" s="93" t="s">
        <v>396</v>
      </c>
      <c r="F458" s="93" t="s">
        <v>1138</v>
      </c>
      <c r="G458" s="94">
        <v>11</v>
      </c>
      <c r="H458" s="96">
        <v>1000</v>
      </c>
      <c r="I458" s="96">
        <v>2</v>
      </c>
      <c r="J458" s="97" t="s">
        <v>77</v>
      </c>
      <c r="K458" s="96">
        <v>1</v>
      </c>
      <c r="L458" s="96">
        <v>0</v>
      </c>
      <c r="M458" s="82">
        <f t="shared" si="99"/>
        <v>550</v>
      </c>
      <c r="N458" s="82">
        <f t="shared" si="94"/>
        <v>577.5</v>
      </c>
      <c r="O458" s="82">
        <f t="shared" si="95"/>
        <v>26565</v>
      </c>
      <c r="P458" s="96">
        <v>1</v>
      </c>
      <c r="Q458" s="96">
        <v>1</v>
      </c>
      <c r="R458" s="96">
        <f t="shared" si="97"/>
        <v>1012500</v>
      </c>
      <c r="S458" s="96">
        <f t="shared" si="91"/>
        <v>1012500</v>
      </c>
      <c r="T458" s="96">
        <f t="shared" si="98"/>
        <v>0</v>
      </c>
      <c r="U458" s="96">
        <f t="shared" si="96"/>
        <v>1012500</v>
      </c>
    </row>
    <row r="459" spans="1:21" s="61" customFormat="1" ht="24" customHeight="1">
      <c r="A459" s="118">
        <v>148</v>
      </c>
      <c r="B459" s="93" t="s">
        <v>46</v>
      </c>
      <c r="C459" s="347" t="s">
        <v>797</v>
      </c>
      <c r="D459" s="268" t="s">
        <v>1049</v>
      </c>
      <c r="E459" s="93" t="s">
        <v>396</v>
      </c>
      <c r="F459" s="93" t="s">
        <v>1138</v>
      </c>
      <c r="G459" s="94">
        <v>11</v>
      </c>
      <c r="H459" s="96">
        <v>1000</v>
      </c>
      <c r="I459" s="96">
        <v>2</v>
      </c>
      <c r="J459" s="97" t="s">
        <v>77</v>
      </c>
      <c r="K459" s="96">
        <v>1</v>
      </c>
      <c r="L459" s="96">
        <v>0</v>
      </c>
      <c r="M459" s="82">
        <f t="shared" si="99"/>
        <v>550</v>
      </c>
      <c r="N459" s="82">
        <f t="shared" si="94"/>
        <v>577.5</v>
      </c>
      <c r="O459" s="82">
        <f t="shared" si="95"/>
        <v>26565</v>
      </c>
      <c r="P459" s="96">
        <v>1</v>
      </c>
      <c r="Q459" s="96">
        <v>1</v>
      </c>
      <c r="R459" s="96">
        <f t="shared" si="97"/>
        <v>1012500</v>
      </c>
      <c r="S459" s="96">
        <f t="shared" si="91"/>
        <v>1012500</v>
      </c>
      <c r="T459" s="96">
        <f t="shared" si="98"/>
        <v>0</v>
      </c>
      <c r="U459" s="96">
        <f t="shared" si="96"/>
        <v>1012500</v>
      </c>
    </row>
    <row r="460" spans="1:21" s="61" customFormat="1" ht="24" customHeight="1">
      <c r="A460" s="118">
        <v>149</v>
      </c>
      <c r="B460" s="93" t="s">
        <v>46</v>
      </c>
      <c r="C460" s="347" t="s">
        <v>798</v>
      </c>
      <c r="D460" s="268" t="s">
        <v>1049</v>
      </c>
      <c r="E460" s="93" t="s">
        <v>396</v>
      </c>
      <c r="F460" s="93" t="s">
        <v>1138</v>
      </c>
      <c r="G460" s="94">
        <v>11</v>
      </c>
      <c r="H460" s="96">
        <v>1000</v>
      </c>
      <c r="I460" s="96">
        <v>2</v>
      </c>
      <c r="J460" s="97" t="s">
        <v>62</v>
      </c>
      <c r="K460" s="96">
        <v>1</v>
      </c>
      <c r="L460" s="96">
        <v>0</v>
      </c>
      <c r="M460" s="82">
        <f t="shared" si="99"/>
        <v>550</v>
      </c>
      <c r="N460" s="82">
        <f t="shared" si="94"/>
        <v>577.5</v>
      </c>
      <c r="O460" s="82">
        <f t="shared" si="95"/>
        <v>26565</v>
      </c>
      <c r="P460" s="96">
        <v>1</v>
      </c>
      <c r="Q460" s="96">
        <v>1</v>
      </c>
      <c r="R460" s="96">
        <f t="shared" si="97"/>
        <v>1012500</v>
      </c>
      <c r="S460" s="96">
        <f t="shared" si="91"/>
        <v>1012500</v>
      </c>
      <c r="T460" s="96">
        <f t="shared" si="98"/>
        <v>0</v>
      </c>
      <c r="U460" s="96">
        <f t="shared" si="96"/>
        <v>1012500</v>
      </c>
    </row>
    <row r="461" spans="1:21" s="61" customFormat="1" ht="25.5" customHeight="1">
      <c r="A461" s="118">
        <v>150</v>
      </c>
      <c r="B461" s="93" t="s">
        <v>46</v>
      </c>
      <c r="C461" s="347" t="s">
        <v>799</v>
      </c>
      <c r="D461" s="268" t="s">
        <v>1049</v>
      </c>
      <c r="E461" s="93" t="s">
        <v>396</v>
      </c>
      <c r="F461" s="93" t="s">
        <v>1138</v>
      </c>
      <c r="G461" s="94">
        <v>11</v>
      </c>
      <c r="H461" s="96">
        <v>1000</v>
      </c>
      <c r="I461" s="96">
        <v>2</v>
      </c>
      <c r="J461" s="97" t="s">
        <v>77</v>
      </c>
      <c r="K461" s="96">
        <v>1</v>
      </c>
      <c r="L461" s="96">
        <v>0</v>
      </c>
      <c r="M461" s="82">
        <f t="shared" si="99"/>
        <v>550</v>
      </c>
      <c r="N461" s="82">
        <f t="shared" si="94"/>
        <v>577.5</v>
      </c>
      <c r="O461" s="82">
        <f t="shared" si="95"/>
        <v>26565</v>
      </c>
      <c r="P461" s="96">
        <v>1</v>
      </c>
      <c r="Q461" s="96">
        <v>1</v>
      </c>
      <c r="R461" s="96">
        <f t="shared" si="97"/>
        <v>1012500</v>
      </c>
      <c r="S461" s="96">
        <f t="shared" si="91"/>
        <v>1012500</v>
      </c>
      <c r="T461" s="96">
        <f t="shared" si="98"/>
        <v>0</v>
      </c>
      <c r="U461" s="96">
        <f t="shared" si="96"/>
        <v>1012500</v>
      </c>
    </row>
    <row r="462" spans="1:21" s="61" customFormat="1" ht="24.75" customHeight="1">
      <c r="A462" s="118">
        <v>151</v>
      </c>
      <c r="B462" s="93" t="s">
        <v>46</v>
      </c>
      <c r="C462" s="347" t="s">
        <v>800</v>
      </c>
      <c r="D462" s="268" t="s">
        <v>1049</v>
      </c>
      <c r="E462" s="93" t="s">
        <v>396</v>
      </c>
      <c r="F462" s="93" t="s">
        <v>1138</v>
      </c>
      <c r="G462" s="94">
        <v>11</v>
      </c>
      <c r="H462" s="96">
        <v>1000</v>
      </c>
      <c r="I462" s="96">
        <v>2</v>
      </c>
      <c r="J462" s="97" t="s">
        <v>77</v>
      </c>
      <c r="K462" s="96">
        <v>1</v>
      </c>
      <c r="L462" s="96">
        <v>0</v>
      </c>
      <c r="M462" s="82">
        <f t="shared" si="99"/>
        <v>550</v>
      </c>
      <c r="N462" s="82">
        <f t="shared" si="94"/>
        <v>577.5</v>
      </c>
      <c r="O462" s="82">
        <f t="shared" si="95"/>
        <v>26565</v>
      </c>
      <c r="P462" s="96">
        <v>1</v>
      </c>
      <c r="Q462" s="96">
        <v>1</v>
      </c>
      <c r="R462" s="96">
        <f t="shared" si="97"/>
        <v>1012500</v>
      </c>
      <c r="S462" s="96">
        <f t="shared" si="91"/>
        <v>1012500</v>
      </c>
      <c r="T462" s="96">
        <f t="shared" si="98"/>
        <v>0</v>
      </c>
      <c r="U462" s="96">
        <f t="shared" si="96"/>
        <v>1012500</v>
      </c>
    </row>
    <row r="463" spans="1:22" s="47" customFormat="1" ht="20.25" customHeight="1">
      <c r="A463" s="118">
        <v>152</v>
      </c>
      <c r="B463" s="80" t="s">
        <v>46</v>
      </c>
      <c r="C463" s="346" t="s">
        <v>888</v>
      </c>
      <c r="D463" s="261" t="s">
        <v>884</v>
      </c>
      <c r="E463" s="80" t="s">
        <v>885</v>
      </c>
      <c r="F463" s="81" t="s">
        <v>1112</v>
      </c>
      <c r="G463" s="66">
        <v>18</v>
      </c>
      <c r="H463" s="82">
        <v>900</v>
      </c>
      <c r="I463" s="83">
        <v>2</v>
      </c>
      <c r="J463" s="84" t="s">
        <v>40</v>
      </c>
      <c r="K463" s="86">
        <v>1</v>
      </c>
      <c r="L463" s="82">
        <v>0</v>
      </c>
      <c r="M463" s="82">
        <f t="shared" si="99"/>
        <v>810</v>
      </c>
      <c r="N463" s="82">
        <f t="shared" si="94"/>
        <v>850.5</v>
      </c>
      <c r="O463" s="82">
        <f t="shared" si="95"/>
        <v>39123</v>
      </c>
      <c r="P463" s="82">
        <v>1</v>
      </c>
      <c r="Q463" s="82">
        <v>1</v>
      </c>
      <c r="R463" s="82">
        <f t="shared" si="97"/>
        <v>1012500</v>
      </c>
      <c r="S463" s="82">
        <f t="shared" si="91"/>
        <v>1012500</v>
      </c>
      <c r="T463" s="82">
        <f t="shared" si="98"/>
        <v>0</v>
      </c>
      <c r="U463" s="82">
        <f t="shared" si="96"/>
        <v>1012500</v>
      </c>
      <c r="V463" s="42"/>
    </row>
    <row r="464" spans="1:22" s="47" customFormat="1" ht="20.25" customHeight="1">
      <c r="A464" s="118">
        <v>153</v>
      </c>
      <c r="B464" s="80" t="s">
        <v>46</v>
      </c>
      <c r="C464" s="346" t="s">
        <v>889</v>
      </c>
      <c r="D464" s="261" t="s">
        <v>884</v>
      </c>
      <c r="E464" s="80" t="s">
        <v>885</v>
      </c>
      <c r="F464" s="81" t="s">
        <v>1112</v>
      </c>
      <c r="G464" s="66">
        <v>18</v>
      </c>
      <c r="H464" s="82">
        <v>900</v>
      </c>
      <c r="I464" s="83">
        <v>2</v>
      </c>
      <c r="J464" s="84" t="s">
        <v>40</v>
      </c>
      <c r="K464" s="86">
        <v>1</v>
      </c>
      <c r="L464" s="82">
        <v>0</v>
      </c>
      <c r="M464" s="82">
        <f t="shared" si="99"/>
        <v>810</v>
      </c>
      <c r="N464" s="82">
        <f t="shared" si="94"/>
        <v>850.5</v>
      </c>
      <c r="O464" s="82">
        <f t="shared" si="95"/>
        <v>39123</v>
      </c>
      <c r="P464" s="82">
        <v>1</v>
      </c>
      <c r="Q464" s="82">
        <v>1</v>
      </c>
      <c r="R464" s="82">
        <f t="shared" si="97"/>
        <v>1012500</v>
      </c>
      <c r="S464" s="82">
        <f t="shared" si="91"/>
        <v>1012500</v>
      </c>
      <c r="T464" s="82">
        <f t="shared" si="98"/>
        <v>0</v>
      </c>
      <c r="U464" s="82">
        <f t="shared" si="96"/>
        <v>1012500</v>
      </c>
      <c r="V464" s="42"/>
    </row>
    <row r="465" spans="1:22" s="47" customFormat="1" ht="20.25" customHeight="1">
      <c r="A465" s="118">
        <v>154</v>
      </c>
      <c r="B465" s="80" t="s">
        <v>46</v>
      </c>
      <c r="C465" s="346" t="s">
        <v>899</v>
      </c>
      <c r="D465" s="261" t="s">
        <v>884</v>
      </c>
      <c r="E465" s="137" t="s">
        <v>885</v>
      </c>
      <c r="F465" s="81" t="s">
        <v>1112</v>
      </c>
      <c r="G465" s="66">
        <v>21</v>
      </c>
      <c r="H465" s="82">
        <v>900</v>
      </c>
      <c r="I465" s="83">
        <v>2</v>
      </c>
      <c r="J465" s="84" t="s">
        <v>40</v>
      </c>
      <c r="K465" s="86">
        <v>1</v>
      </c>
      <c r="L465" s="82">
        <v>0</v>
      </c>
      <c r="M465" s="82">
        <f t="shared" si="99"/>
        <v>945</v>
      </c>
      <c r="N465" s="82">
        <f t="shared" si="94"/>
        <v>992.25</v>
      </c>
      <c r="O465" s="82">
        <f t="shared" si="95"/>
        <v>45643.5</v>
      </c>
      <c r="P465" s="82">
        <v>1</v>
      </c>
      <c r="Q465" s="82">
        <v>1</v>
      </c>
      <c r="R465" s="82">
        <f t="shared" si="97"/>
        <v>1012500</v>
      </c>
      <c r="S465" s="82">
        <f t="shared" si="91"/>
        <v>1012500</v>
      </c>
      <c r="T465" s="82">
        <f t="shared" si="98"/>
        <v>0</v>
      </c>
      <c r="U465" s="82">
        <f t="shared" si="96"/>
        <v>1012500</v>
      </c>
      <c r="V465" s="42"/>
    </row>
    <row r="466" spans="1:22" s="47" customFormat="1" ht="20.25" customHeight="1">
      <c r="A466" s="118">
        <v>155</v>
      </c>
      <c r="B466" s="80" t="s">
        <v>46</v>
      </c>
      <c r="C466" s="346" t="s">
        <v>898</v>
      </c>
      <c r="D466" s="261" t="s">
        <v>884</v>
      </c>
      <c r="E466" s="137" t="s">
        <v>885</v>
      </c>
      <c r="F466" s="81" t="s">
        <v>1112</v>
      </c>
      <c r="G466" s="66">
        <v>21</v>
      </c>
      <c r="H466" s="82">
        <v>900</v>
      </c>
      <c r="I466" s="83">
        <v>2</v>
      </c>
      <c r="J466" s="84" t="s">
        <v>40</v>
      </c>
      <c r="K466" s="86">
        <v>1</v>
      </c>
      <c r="L466" s="82">
        <v>0</v>
      </c>
      <c r="M466" s="82">
        <f t="shared" si="99"/>
        <v>945</v>
      </c>
      <c r="N466" s="82">
        <f t="shared" si="94"/>
        <v>992.25</v>
      </c>
      <c r="O466" s="82">
        <f t="shared" si="95"/>
        <v>45643.5</v>
      </c>
      <c r="P466" s="82">
        <v>1</v>
      </c>
      <c r="Q466" s="82">
        <v>1</v>
      </c>
      <c r="R466" s="82">
        <f t="shared" si="97"/>
        <v>1012500</v>
      </c>
      <c r="S466" s="82">
        <f t="shared" si="91"/>
        <v>1012500</v>
      </c>
      <c r="T466" s="82">
        <f t="shared" si="98"/>
        <v>0</v>
      </c>
      <c r="U466" s="82">
        <f t="shared" si="96"/>
        <v>1012500</v>
      </c>
      <c r="V466" s="42"/>
    </row>
    <row r="467" spans="1:22" s="47" customFormat="1" ht="20.25" customHeight="1">
      <c r="A467" s="118">
        <v>156</v>
      </c>
      <c r="B467" s="80" t="s">
        <v>46</v>
      </c>
      <c r="C467" s="346" t="s">
        <v>1322</v>
      </c>
      <c r="D467" s="261" t="s">
        <v>884</v>
      </c>
      <c r="E467" s="137" t="s">
        <v>885</v>
      </c>
      <c r="F467" s="81" t="s">
        <v>1112</v>
      </c>
      <c r="G467" s="66">
        <v>21</v>
      </c>
      <c r="H467" s="82">
        <v>900</v>
      </c>
      <c r="I467" s="83">
        <v>2</v>
      </c>
      <c r="J467" s="84" t="s">
        <v>40</v>
      </c>
      <c r="K467" s="86">
        <v>1</v>
      </c>
      <c r="L467" s="82">
        <v>0</v>
      </c>
      <c r="M467" s="82">
        <f t="shared" si="99"/>
        <v>945</v>
      </c>
      <c r="N467" s="82">
        <f t="shared" si="94"/>
        <v>992.25</v>
      </c>
      <c r="O467" s="82">
        <f t="shared" si="95"/>
        <v>45643.5</v>
      </c>
      <c r="P467" s="82">
        <v>1</v>
      </c>
      <c r="Q467" s="82">
        <v>1</v>
      </c>
      <c r="R467" s="82">
        <f t="shared" si="97"/>
        <v>1012500</v>
      </c>
      <c r="S467" s="82">
        <f>R467*Q467*P467*K467</f>
        <v>1012500</v>
      </c>
      <c r="T467" s="82">
        <f>L467*P467*Q467*R467</f>
        <v>0</v>
      </c>
      <c r="U467" s="82">
        <f t="shared" si="96"/>
        <v>1012500</v>
      </c>
      <c r="V467" s="42"/>
    </row>
    <row r="468" spans="1:104" s="49" customFormat="1" ht="20.25" customHeight="1">
      <c r="A468" s="118">
        <v>157</v>
      </c>
      <c r="B468" s="80" t="s">
        <v>46</v>
      </c>
      <c r="C468" s="346" t="s">
        <v>941</v>
      </c>
      <c r="D468" s="261" t="s">
        <v>884</v>
      </c>
      <c r="E468" s="137" t="s">
        <v>885</v>
      </c>
      <c r="F468" s="81" t="s">
        <v>1112</v>
      </c>
      <c r="G468" s="66">
        <v>24</v>
      </c>
      <c r="H468" s="82">
        <v>900</v>
      </c>
      <c r="I468" s="83">
        <v>2</v>
      </c>
      <c r="J468" s="84" t="s">
        <v>40</v>
      </c>
      <c r="K468" s="86">
        <v>1</v>
      </c>
      <c r="L468" s="82">
        <v>0</v>
      </c>
      <c r="M468" s="82">
        <f t="shared" si="99"/>
        <v>1080</v>
      </c>
      <c r="N468" s="82">
        <f t="shared" si="94"/>
        <v>1134</v>
      </c>
      <c r="O468" s="82">
        <f t="shared" si="95"/>
        <v>52164</v>
      </c>
      <c r="P468" s="82">
        <v>1</v>
      </c>
      <c r="Q468" s="82">
        <v>1</v>
      </c>
      <c r="R468" s="82">
        <f t="shared" si="97"/>
        <v>1012500</v>
      </c>
      <c r="S468" s="82">
        <f t="shared" si="91"/>
        <v>1012500</v>
      </c>
      <c r="T468" s="82">
        <f t="shared" si="98"/>
        <v>0</v>
      </c>
      <c r="U468" s="82">
        <f t="shared" si="96"/>
        <v>1012500</v>
      </c>
      <c r="V468" s="42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</row>
    <row r="469" spans="1:104" s="49" customFormat="1" ht="20.25" customHeight="1">
      <c r="A469" s="118">
        <v>158</v>
      </c>
      <c r="B469" s="80" t="s">
        <v>46</v>
      </c>
      <c r="C469" s="346" t="s">
        <v>942</v>
      </c>
      <c r="D469" s="261" t="s">
        <v>884</v>
      </c>
      <c r="E469" s="137" t="s">
        <v>885</v>
      </c>
      <c r="F469" s="81" t="s">
        <v>1112</v>
      </c>
      <c r="G469" s="66">
        <v>24</v>
      </c>
      <c r="H469" s="82">
        <v>900</v>
      </c>
      <c r="I469" s="83">
        <v>2</v>
      </c>
      <c r="J469" s="84" t="s">
        <v>40</v>
      </c>
      <c r="K469" s="86">
        <v>1</v>
      </c>
      <c r="L469" s="82">
        <v>0</v>
      </c>
      <c r="M469" s="82">
        <f t="shared" si="99"/>
        <v>1080</v>
      </c>
      <c r="N469" s="82">
        <f t="shared" si="94"/>
        <v>1134</v>
      </c>
      <c r="O469" s="82">
        <f t="shared" si="95"/>
        <v>52164</v>
      </c>
      <c r="P469" s="82">
        <v>1</v>
      </c>
      <c r="Q469" s="82">
        <v>1</v>
      </c>
      <c r="R469" s="82">
        <f t="shared" si="97"/>
        <v>1012500</v>
      </c>
      <c r="S469" s="82">
        <f t="shared" si="91"/>
        <v>1012500</v>
      </c>
      <c r="T469" s="82">
        <f t="shared" si="98"/>
        <v>0</v>
      </c>
      <c r="U469" s="82">
        <f t="shared" si="96"/>
        <v>1012500</v>
      </c>
      <c r="V469" s="42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</row>
    <row r="470" spans="1:104" s="49" customFormat="1" ht="20.25" customHeight="1">
      <c r="A470" s="118">
        <v>159</v>
      </c>
      <c r="B470" s="121" t="s">
        <v>46</v>
      </c>
      <c r="C470" s="348" t="s">
        <v>943</v>
      </c>
      <c r="D470" s="266" t="s">
        <v>884</v>
      </c>
      <c r="E470" s="138" t="s">
        <v>885</v>
      </c>
      <c r="F470" s="81" t="s">
        <v>1112</v>
      </c>
      <c r="G470" s="122">
        <v>24</v>
      </c>
      <c r="H470" s="111">
        <v>900</v>
      </c>
      <c r="I470" s="123">
        <v>2</v>
      </c>
      <c r="J470" s="124" t="s">
        <v>40</v>
      </c>
      <c r="K470" s="125">
        <v>1</v>
      </c>
      <c r="L470" s="111">
        <v>0</v>
      </c>
      <c r="M470" s="82">
        <f t="shared" si="99"/>
        <v>1080</v>
      </c>
      <c r="N470" s="82">
        <f t="shared" si="94"/>
        <v>1134</v>
      </c>
      <c r="O470" s="82">
        <f t="shared" si="95"/>
        <v>52164</v>
      </c>
      <c r="P470" s="111">
        <v>1</v>
      </c>
      <c r="Q470" s="111">
        <v>1</v>
      </c>
      <c r="R470" s="82">
        <f t="shared" si="97"/>
        <v>1012500</v>
      </c>
      <c r="S470" s="111">
        <f t="shared" si="91"/>
        <v>1012500</v>
      </c>
      <c r="T470" s="111">
        <f t="shared" si="98"/>
        <v>0</v>
      </c>
      <c r="U470" s="82">
        <f t="shared" si="96"/>
        <v>1012500</v>
      </c>
      <c r="V470" s="42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</row>
    <row r="471" spans="1:104" s="49" customFormat="1" ht="20.25" customHeight="1">
      <c r="A471" s="118">
        <v>160</v>
      </c>
      <c r="B471" s="80" t="s">
        <v>46</v>
      </c>
      <c r="C471" s="346" t="s">
        <v>1003</v>
      </c>
      <c r="D471" s="266" t="s">
        <v>884</v>
      </c>
      <c r="E471" s="138" t="s">
        <v>885</v>
      </c>
      <c r="F471" s="81" t="s">
        <v>1112</v>
      </c>
      <c r="G471" s="66">
        <v>22</v>
      </c>
      <c r="H471" s="82">
        <v>900</v>
      </c>
      <c r="I471" s="83">
        <v>2</v>
      </c>
      <c r="J471" s="124" t="s">
        <v>40</v>
      </c>
      <c r="K471" s="86">
        <v>1</v>
      </c>
      <c r="L471" s="82">
        <v>0</v>
      </c>
      <c r="M471" s="82">
        <f t="shared" si="99"/>
        <v>990</v>
      </c>
      <c r="N471" s="82">
        <f t="shared" si="94"/>
        <v>1039.5</v>
      </c>
      <c r="O471" s="82">
        <f t="shared" si="95"/>
        <v>47817</v>
      </c>
      <c r="P471" s="111">
        <v>1</v>
      </c>
      <c r="Q471" s="111">
        <v>1</v>
      </c>
      <c r="R471" s="82">
        <f t="shared" si="97"/>
        <v>1012500</v>
      </c>
      <c r="S471" s="111">
        <f t="shared" si="91"/>
        <v>1012500</v>
      </c>
      <c r="T471" s="111">
        <f t="shared" si="98"/>
        <v>0</v>
      </c>
      <c r="U471" s="82">
        <f t="shared" si="96"/>
        <v>1012500</v>
      </c>
      <c r="V471" s="42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</row>
    <row r="472" spans="1:104" s="49" customFormat="1" ht="20.25" customHeight="1">
      <c r="A472" s="118">
        <v>161</v>
      </c>
      <c r="B472" s="80" t="s">
        <v>46</v>
      </c>
      <c r="C472" s="346" t="s">
        <v>1004</v>
      </c>
      <c r="D472" s="266" t="s">
        <v>884</v>
      </c>
      <c r="E472" s="138" t="s">
        <v>885</v>
      </c>
      <c r="F472" s="81" t="s">
        <v>1112</v>
      </c>
      <c r="G472" s="66">
        <v>22</v>
      </c>
      <c r="H472" s="82">
        <v>900</v>
      </c>
      <c r="I472" s="83">
        <v>2</v>
      </c>
      <c r="J472" s="124" t="s">
        <v>40</v>
      </c>
      <c r="K472" s="86">
        <v>1</v>
      </c>
      <c r="L472" s="82">
        <v>0</v>
      </c>
      <c r="M472" s="82">
        <f t="shared" si="99"/>
        <v>990</v>
      </c>
      <c r="N472" s="82">
        <f t="shared" si="94"/>
        <v>1039.5</v>
      </c>
      <c r="O472" s="82">
        <f t="shared" si="95"/>
        <v>47817</v>
      </c>
      <c r="P472" s="82">
        <v>1</v>
      </c>
      <c r="Q472" s="82">
        <v>1</v>
      </c>
      <c r="R472" s="82">
        <f t="shared" si="97"/>
        <v>1012500</v>
      </c>
      <c r="S472" s="111">
        <f t="shared" si="91"/>
        <v>1012500</v>
      </c>
      <c r="T472" s="111">
        <f t="shared" si="98"/>
        <v>0</v>
      </c>
      <c r="U472" s="82">
        <f t="shared" si="96"/>
        <v>1012500</v>
      </c>
      <c r="V472" s="42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</row>
    <row r="473" spans="1:104" s="49" customFormat="1" ht="20.25" customHeight="1">
      <c r="A473" s="118">
        <v>162</v>
      </c>
      <c r="B473" s="80" t="s">
        <v>46</v>
      </c>
      <c r="C473" s="346" t="s">
        <v>1027</v>
      </c>
      <c r="D473" s="266" t="s">
        <v>884</v>
      </c>
      <c r="E473" s="138" t="s">
        <v>885</v>
      </c>
      <c r="F473" s="81" t="s">
        <v>1112</v>
      </c>
      <c r="G473" s="66">
        <v>25</v>
      </c>
      <c r="H473" s="82">
        <v>900</v>
      </c>
      <c r="I473" s="83">
        <v>2</v>
      </c>
      <c r="J473" s="124" t="s">
        <v>40</v>
      </c>
      <c r="K473" s="86">
        <v>1</v>
      </c>
      <c r="L473" s="82">
        <v>0</v>
      </c>
      <c r="M473" s="82">
        <f t="shared" si="99"/>
        <v>1125</v>
      </c>
      <c r="N473" s="82">
        <f t="shared" si="94"/>
        <v>1181.25</v>
      </c>
      <c r="O473" s="82">
        <f t="shared" si="95"/>
        <v>54337.5</v>
      </c>
      <c r="P473" s="82">
        <v>1</v>
      </c>
      <c r="Q473" s="82">
        <v>1</v>
      </c>
      <c r="R473" s="82">
        <f t="shared" si="97"/>
        <v>1012500</v>
      </c>
      <c r="S473" s="111">
        <f t="shared" si="91"/>
        <v>1012500</v>
      </c>
      <c r="T473" s="111">
        <f t="shared" si="98"/>
        <v>0</v>
      </c>
      <c r="U473" s="82">
        <f t="shared" si="96"/>
        <v>1012500</v>
      </c>
      <c r="V473" s="42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</row>
    <row r="474" spans="1:104" s="49" customFormat="1" ht="20.25" customHeight="1">
      <c r="A474" s="118">
        <v>163</v>
      </c>
      <c r="B474" s="80" t="s">
        <v>46</v>
      </c>
      <c r="C474" s="346" t="s">
        <v>1028</v>
      </c>
      <c r="D474" s="266" t="s">
        <v>884</v>
      </c>
      <c r="E474" s="138" t="s">
        <v>885</v>
      </c>
      <c r="F474" s="81" t="s">
        <v>1112</v>
      </c>
      <c r="G474" s="66">
        <v>22</v>
      </c>
      <c r="H474" s="82">
        <v>900</v>
      </c>
      <c r="I474" s="83">
        <v>2</v>
      </c>
      <c r="J474" s="124" t="s">
        <v>40</v>
      </c>
      <c r="K474" s="86">
        <v>1</v>
      </c>
      <c r="L474" s="82">
        <v>0</v>
      </c>
      <c r="M474" s="82">
        <f t="shared" si="99"/>
        <v>990</v>
      </c>
      <c r="N474" s="82">
        <f t="shared" si="94"/>
        <v>1039.5</v>
      </c>
      <c r="O474" s="82">
        <f t="shared" si="95"/>
        <v>47817</v>
      </c>
      <c r="P474" s="82">
        <v>1</v>
      </c>
      <c r="Q474" s="82">
        <v>1</v>
      </c>
      <c r="R474" s="82">
        <f t="shared" si="97"/>
        <v>1012500</v>
      </c>
      <c r="S474" s="111">
        <f t="shared" si="91"/>
        <v>1012500</v>
      </c>
      <c r="T474" s="111">
        <f t="shared" si="98"/>
        <v>0</v>
      </c>
      <c r="U474" s="82">
        <f t="shared" si="96"/>
        <v>1012500</v>
      </c>
      <c r="V474" s="42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</row>
    <row r="475" spans="1:22" s="47" customFormat="1" ht="20.25" customHeight="1">
      <c r="A475" s="118">
        <v>164</v>
      </c>
      <c r="B475" s="80" t="s">
        <v>46</v>
      </c>
      <c r="C475" s="346" t="s">
        <v>1029</v>
      </c>
      <c r="D475" s="266" t="s">
        <v>884</v>
      </c>
      <c r="E475" s="138" t="s">
        <v>885</v>
      </c>
      <c r="F475" s="81" t="s">
        <v>1112</v>
      </c>
      <c r="G475" s="66">
        <v>22</v>
      </c>
      <c r="H475" s="82">
        <v>900</v>
      </c>
      <c r="I475" s="83">
        <v>2</v>
      </c>
      <c r="J475" s="124" t="s">
        <v>40</v>
      </c>
      <c r="K475" s="86">
        <v>1</v>
      </c>
      <c r="L475" s="82">
        <v>0</v>
      </c>
      <c r="M475" s="82">
        <f t="shared" si="99"/>
        <v>990</v>
      </c>
      <c r="N475" s="82">
        <f t="shared" si="94"/>
        <v>1039.5</v>
      </c>
      <c r="O475" s="82">
        <f t="shared" si="95"/>
        <v>47817</v>
      </c>
      <c r="P475" s="82">
        <v>1</v>
      </c>
      <c r="Q475" s="82">
        <v>1</v>
      </c>
      <c r="R475" s="82">
        <f t="shared" si="97"/>
        <v>1012500</v>
      </c>
      <c r="S475" s="111">
        <f aca="true" t="shared" si="100" ref="S475:S485">R475*Q475*P475*K475</f>
        <v>1012500</v>
      </c>
      <c r="T475" s="111">
        <f t="shared" si="98"/>
        <v>0</v>
      </c>
      <c r="U475" s="82">
        <f t="shared" si="96"/>
        <v>1012500</v>
      </c>
      <c r="V475" s="42"/>
    </row>
    <row r="476" spans="1:22" s="47" customFormat="1" ht="20.25" customHeight="1">
      <c r="A476" s="118">
        <v>165</v>
      </c>
      <c r="B476" s="80" t="s">
        <v>46</v>
      </c>
      <c r="C476" s="347" t="s">
        <v>989</v>
      </c>
      <c r="D476" s="261" t="s">
        <v>990</v>
      </c>
      <c r="E476" s="80" t="s">
        <v>439</v>
      </c>
      <c r="F476" s="80" t="s">
        <v>1139</v>
      </c>
      <c r="G476" s="66">
        <v>16</v>
      </c>
      <c r="H476" s="82">
        <v>550</v>
      </c>
      <c r="I476" s="82">
        <v>2</v>
      </c>
      <c r="J476" s="84" t="s">
        <v>62</v>
      </c>
      <c r="K476" s="86">
        <v>1</v>
      </c>
      <c r="L476" s="82">
        <v>0</v>
      </c>
      <c r="M476" s="82">
        <f t="shared" si="99"/>
        <v>440</v>
      </c>
      <c r="N476" s="82">
        <f t="shared" si="94"/>
        <v>462</v>
      </c>
      <c r="O476" s="82">
        <f t="shared" si="95"/>
        <v>21252</v>
      </c>
      <c r="P476" s="82">
        <v>1</v>
      </c>
      <c r="Q476" s="82">
        <v>1</v>
      </c>
      <c r="R476" s="82">
        <f t="shared" si="97"/>
        <v>1012500</v>
      </c>
      <c r="S476" s="82">
        <f t="shared" si="100"/>
        <v>1012500</v>
      </c>
      <c r="T476" s="82">
        <f t="shared" si="98"/>
        <v>0</v>
      </c>
      <c r="U476" s="82">
        <f t="shared" si="96"/>
        <v>1012500</v>
      </c>
      <c r="V476" s="42"/>
    </row>
    <row r="477" spans="1:22" s="47" customFormat="1" ht="20.25" customHeight="1">
      <c r="A477" s="118">
        <v>166</v>
      </c>
      <c r="B477" s="80" t="s">
        <v>46</v>
      </c>
      <c r="C477" s="349" t="s">
        <v>1154</v>
      </c>
      <c r="D477" s="261" t="s">
        <v>1155</v>
      </c>
      <c r="E477" s="80" t="s">
        <v>686</v>
      </c>
      <c r="F477" s="80" t="s">
        <v>1156</v>
      </c>
      <c r="G477" s="66">
        <v>13</v>
      </c>
      <c r="H477" s="82">
        <v>700</v>
      </c>
      <c r="I477" s="82">
        <v>2</v>
      </c>
      <c r="J477" s="84" t="s">
        <v>25</v>
      </c>
      <c r="K477" s="86">
        <v>1</v>
      </c>
      <c r="L477" s="82"/>
      <c r="M477" s="82">
        <f t="shared" si="99"/>
        <v>455</v>
      </c>
      <c r="N477" s="82">
        <f t="shared" si="94"/>
        <v>477.75</v>
      </c>
      <c r="O477" s="82">
        <f t="shared" si="95"/>
        <v>21976.5</v>
      </c>
      <c r="P477" s="82">
        <v>1</v>
      </c>
      <c r="Q477" s="82">
        <v>1</v>
      </c>
      <c r="R477" s="82">
        <f t="shared" si="97"/>
        <v>1012500</v>
      </c>
      <c r="S477" s="82">
        <f t="shared" si="100"/>
        <v>1012500</v>
      </c>
      <c r="T477" s="82">
        <f t="shared" si="98"/>
        <v>0</v>
      </c>
      <c r="U477" s="82">
        <f t="shared" si="96"/>
        <v>1012500</v>
      </c>
      <c r="V477" s="42"/>
    </row>
    <row r="478" spans="1:22" s="47" customFormat="1" ht="20.25" customHeight="1">
      <c r="A478" s="118">
        <v>167</v>
      </c>
      <c r="B478" s="80" t="s">
        <v>46</v>
      </c>
      <c r="C478" s="349" t="s">
        <v>1157</v>
      </c>
      <c r="D478" s="261" t="s">
        <v>1155</v>
      </c>
      <c r="E478" s="80" t="s">
        <v>686</v>
      </c>
      <c r="F478" s="80" t="s">
        <v>1156</v>
      </c>
      <c r="G478" s="66">
        <v>13</v>
      </c>
      <c r="H478" s="82">
        <v>700</v>
      </c>
      <c r="I478" s="82">
        <v>2</v>
      </c>
      <c r="J478" s="84" t="s">
        <v>25</v>
      </c>
      <c r="K478" s="86">
        <v>1</v>
      </c>
      <c r="L478" s="82"/>
      <c r="M478" s="82">
        <f t="shared" si="99"/>
        <v>455</v>
      </c>
      <c r="N478" s="82">
        <f t="shared" si="94"/>
        <v>477.75</v>
      </c>
      <c r="O478" s="82">
        <f t="shared" si="95"/>
        <v>21976.5</v>
      </c>
      <c r="P478" s="82">
        <v>1</v>
      </c>
      <c r="Q478" s="82">
        <v>1</v>
      </c>
      <c r="R478" s="82">
        <f t="shared" si="97"/>
        <v>1012500</v>
      </c>
      <c r="S478" s="82">
        <f t="shared" si="100"/>
        <v>1012500</v>
      </c>
      <c r="T478" s="82">
        <f t="shared" si="98"/>
        <v>0</v>
      </c>
      <c r="U478" s="82">
        <f t="shared" si="96"/>
        <v>1012500</v>
      </c>
      <c r="V478" s="42"/>
    </row>
    <row r="479" spans="1:22" s="47" customFormat="1" ht="20.25" customHeight="1">
      <c r="A479" s="118">
        <v>168</v>
      </c>
      <c r="B479" s="80" t="s">
        <v>46</v>
      </c>
      <c r="C479" s="349" t="s">
        <v>1158</v>
      </c>
      <c r="D479" s="261" t="s">
        <v>1155</v>
      </c>
      <c r="E479" s="80" t="s">
        <v>686</v>
      </c>
      <c r="F479" s="80" t="s">
        <v>1156</v>
      </c>
      <c r="G479" s="66">
        <v>13</v>
      </c>
      <c r="H479" s="82">
        <v>700</v>
      </c>
      <c r="I479" s="82">
        <v>2</v>
      </c>
      <c r="J479" s="84" t="s">
        <v>25</v>
      </c>
      <c r="K479" s="86">
        <v>1</v>
      </c>
      <c r="L479" s="82"/>
      <c r="M479" s="82">
        <f t="shared" si="99"/>
        <v>455</v>
      </c>
      <c r="N479" s="82">
        <f t="shared" si="94"/>
        <v>477.75</v>
      </c>
      <c r="O479" s="82">
        <f t="shared" si="95"/>
        <v>21976.5</v>
      </c>
      <c r="P479" s="82">
        <v>1</v>
      </c>
      <c r="Q479" s="82">
        <v>1</v>
      </c>
      <c r="R479" s="82">
        <f t="shared" si="97"/>
        <v>1012500</v>
      </c>
      <c r="S479" s="82">
        <f t="shared" si="100"/>
        <v>1012500</v>
      </c>
      <c r="T479" s="82">
        <f t="shared" si="98"/>
        <v>0</v>
      </c>
      <c r="U479" s="82">
        <f t="shared" si="96"/>
        <v>1012500</v>
      </c>
      <c r="V479" s="42"/>
    </row>
    <row r="480" spans="1:22" s="47" customFormat="1" ht="20.25" customHeight="1">
      <c r="A480" s="118">
        <v>169</v>
      </c>
      <c r="B480" s="80" t="s">
        <v>46</v>
      </c>
      <c r="C480" s="349" t="s">
        <v>1158</v>
      </c>
      <c r="D480" s="261" t="s">
        <v>1155</v>
      </c>
      <c r="E480" s="80" t="s">
        <v>686</v>
      </c>
      <c r="F480" s="80" t="s">
        <v>1156</v>
      </c>
      <c r="G480" s="66">
        <v>13</v>
      </c>
      <c r="H480" s="82">
        <v>700</v>
      </c>
      <c r="I480" s="82">
        <v>2</v>
      </c>
      <c r="J480" s="84" t="s">
        <v>25</v>
      </c>
      <c r="K480" s="86">
        <v>1</v>
      </c>
      <c r="L480" s="82"/>
      <c r="M480" s="82">
        <f t="shared" si="99"/>
        <v>455</v>
      </c>
      <c r="N480" s="82">
        <f t="shared" si="94"/>
        <v>477.75</v>
      </c>
      <c r="O480" s="82">
        <f t="shared" si="95"/>
        <v>21976.5</v>
      </c>
      <c r="P480" s="82">
        <v>1</v>
      </c>
      <c r="Q480" s="82">
        <v>1</v>
      </c>
      <c r="R480" s="82">
        <f t="shared" si="97"/>
        <v>1012500</v>
      </c>
      <c r="S480" s="82">
        <f t="shared" si="100"/>
        <v>1012500</v>
      </c>
      <c r="T480" s="82">
        <f t="shared" si="98"/>
        <v>0</v>
      </c>
      <c r="U480" s="82">
        <f t="shared" si="96"/>
        <v>1012500</v>
      </c>
      <c r="V480" s="42"/>
    </row>
    <row r="481" spans="1:22" s="47" customFormat="1" ht="20.25" customHeight="1">
      <c r="A481" s="118">
        <v>170</v>
      </c>
      <c r="B481" s="80" t="s">
        <v>46</v>
      </c>
      <c r="C481" s="349" t="s">
        <v>1160</v>
      </c>
      <c r="D481" s="261" t="s">
        <v>1155</v>
      </c>
      <c r="E481" s="80" t="s">
        <v>686</v>
      </c>
      <c r="F481" s="80" t="s">
        <v>1156</v>
      </c>
      <c r="G481" s="66">
        <v>13</v>
      </c>
      <c r="H481" s="82">
        <v>700</v>
      </c>
      <c r="I481" s="82">
        <v>2</v>
      </c>
      <c r="J481" s="84" t="s">
        <v>25</v>
      </c>
      <c r="K481" s="86">
        <v>1</v>
      </c>
      <c r="L481" s="82"/>
      <c r="M481" s="82">
        <f t="shared" si="99"/>
        <v>455</v>
      </c>
      <c r="N481" s="82">
        <f t="shared" si="94"/>
        <v>477.75</v>
      </c>
      <c r="O481" s="82">
        <f t="shared" si="95"/>
        <v>21976.5</v>
      </c>
      <c r="P481" s="82">
        <v>1</v>
      </c>
      <c r="Q481" s="82">
        <v>1</v>
      </c>
      <c r="R481" s="82">
        <f t="shared" si="97"/>
        <v>1012500</v>
      </c>
      <c r="S481" s="82">
        <f t="shared" si="100"/>
        <v>1012500</v>
      </c>
      <c r="T481" s="82">
        <f t="shared" si="98"/>
        <v>0</v>
      </c>
      <c r="U481" s="82">
        <f t="shared" si="96"/>
        <v>1012500</v>
      </c>
      <c r="V481" s="42"/>
    </row>
    <row r="482" spans="1:22" s="47" customFormat="1" ht="20.25" customHeight="1">
      <c r="A482" s="118">
        <v>171</v>
      </c>
      <c r="B482" s="80" t="s">
        <v>46</v>
      </c>
      <c r="C482" s="349" t="s">
        <v>1159</v>
      </c>
      <c r="D482" s="261" t="s">
        <v>1155</v>
      </c>
      <c r="E482" s="80" t="s">
        <v>686</v>
      </c>
      <c r="F482" s="80" t="s">
        <v>1156</v>
      </c>
      <c r="G482" s="66">
        <v>13</v>
      </c>
      <c r="H482" s="82">
        <v>700</v>
      </c>
      <c r="I482" s="82">
        <v>2</v>
      </c>
      <c r="J482" s="84" t="s">
        <v>25</v>
      </c>
      <c r="K482" s="86">
        <v>1</v>
      </c>
      <c r="L482" s="82"/>
      <c r="M482" s="82">
        <f t="shared" si="99"/>
        <v>455</v>
      </c>
      <c r="N482" s="82">
        <f aca="true" t="shared" si="101" ref="N482:N489">M482*0.15*7</f>
        <v>477.75</v>
      </c>
      <c r="O482" s="82">
        <f aca="true" t="shared" si="102" ref="O482:O489">M482*6.6*7+N482*2</f>
        <v>21976.5</v>
      </c>
      <c r="P482" s="82">
        <v>1</v>
      </c>
      <c r="Q482" s="82">
        <v>1</v>
      </c>
      <c r="R482" s="82">
        <f t="shared" si="97"/>
        <v>1012500</v>
      </c>
      <c r="S482" s="82">
        <f t="shared" si="100"/>
        <v>1012500</v>
      </c>
      <c r="T482" s="82">
        <f t="shared" si="98"/>
        <v>0</v>
      </c>
      <c r="U482" s="82">
        <f t="shared" si="96"/>
        <v>1012500</v>
      </c>
      <c r="V482" s="42"/>
    </row>
    <row r="483" spans="1:22" s="47" customFormat="1" ht="20.25" customHeight="1">
      <c r="A483" s="118">
        <v>172</v>
      </c>
      <c r="B483" s="80" t="s">
        <v>46</v>
      </c>
      <c r="C483" s="349" t="s">
        <v>1365</v>
      </c>
      <c r="D483" s="261" t="s">
        <v>1366</v>
      </c>
      <c r="E483" s="80" t="s">
        <v>1069</v>
      </c>
      <c r="F483" s="80" t="s">
        <v>1138</v>
      </c>
      <c r="G483" s="66">
        <v>9</v>
      </c>
      <c r="H483" s="82">
        <v>900</v>
      </c>
      <c r="I483" s="82">
        <v>3</v>
      </c>
      <c r="J483" s="84" t="s">
        <v>21</v>
      </c>
      <c r="K483" s="86">
        <v>1</v>
      </c>
      <c r="L483" s="82"/>
      <c r="M483" s="82">
        <f t="shared" si="99"/>
        <v>405</v>
      </c>
      <c r="N483" s="82">
        <f t="shared" si="101"/>
        <v>425.25</v>
      </c>
      <c r="O483" s="82">
        <f t="shared" si="102"/>
        <v>19561.5</v>
      </c>
      <c r="P483" s="82">
        <v>1</v>
      </c>
      <c r="Q483" s="82">
        <v>1</v>
      </c>
      <c r="R483" s="82">
        <f t="shared" si="97"/>
        <v>1012500</v>
      </c>
      <c r="S483" s="82">
        <f t="shared" si="100"/>
        <v>1012500</v>
      </c>
      <c r="T483" s="82">
        <f t="shared" si="98"/>
        <v>0</v>
      </c>
      <c r="U483" s="82">
        <f t="shared" si="96"/>
        <v>1012500</v>
      </c>
      <c r="V483" s="42"/>
    </row>
    <row r="484" spans="1:22" s="47" customFormat="1" ht="20.25" customHeight="1">
      <c r="A484" s="118">
        <v>173</v>
      </c>
      <c r="B484" s="80" t="s">
        <v>46</v>
      </c>
      <c r="C484" s="349" t="s">
        <v>1367</v>
      </c>
      <c r="D484" s="261" t="s">
        <v>1366</v>
      </c>
      <c r="E484" s="80" t="s">
        <v>1069</v>
      </c>
      <c r="F484" s="80" t="s">
        <v>1138</v>
      </c>
      <c r="G484" s="66">
        <v>9</v>
      </c>
      <c r="H484" s="82">
        <v>900</v>
      </c>
      <c r="I484" s="82">
        <v>3</v>
      </c>
      <c r="J484" s="84" t="s">
        <v>21</v>
      </c>
      <c r="K484" s="86">
        <v>1</v>
      </c>
      <c r="L484" s="82"/>
      <c r="M484" s="82">
        <f t="shared" si="99"/>
        <v>405</v>
      </c>
      <c r="N484" s="82">
        <f t="shared" si="101"/>
        <v>425.25</v>
      </c>
      <c r="O484" s="82">
        <f t="shared" si="102"/>
        <v>19561.5</v>
      </c>
      <c r="P484" s="82">
        <v>1</v>
      </c>
      <c r="Q484" s="82">
        <v>1</v>
      </c>
      <c r="R484" s="82">
        <f t="shared" si="97"/>
        <v>1012500</v>
      </c>
      <c r="S484" s="82">
        <f t="shared" si="100"/>
        <v>1012500</v>
      </c>
      <c r="T484" s="82">
        <f t="shared" si="98"/>
        <v>0</v>
      </c>
      <c r="U484" s="82">
        <f t="shared" si="96"/>
        <v>1012500</v>
      </c>
      <c r="V484" s="42"/>
    </row>
    <row r="485" spans="1:22" s="47" customFormat="1" ht="20.25" customHeight="1">
      <c r="A485" s="118">
        <v>174</v>
      </c>
      <c r="B485" s="80" t="s">
        <v>46</v>
      </c>
      <c r="C485" s="349" t="s">
        <v>1372</v>
      </c>
      <c r="D485" s="261" t="s">
        <v>1373</v>
      </c>
      <c r="E485" s="80" t="s">
        <v>495</v>
      </c>
      <c r="F485" s="80" t="s">
        <v>1138</v>
      </c>
      <c r="G485" s="66">
        <v>15</v>
      </c>
      <c r="H485" s="82">
        <v>1000</v>
      </c>
      <c r="I485" s="82">
        <v>3</v>
      </c>
      <c r="J485" s="84" t="s">
        <v>40</v>
      </c>
      <c r="K485" s="86">
        <v>1</v>
      </c>
      <c r="L485" s="82"/>
      <c r="M485" s="82">
        <f t="shared" si="99"/>
        <v>750</v>
      </c>
      <c r="N485" s="82">
        <f t="shared" si="101"/>
        <v>787.5</v>
      </c>
      <c r="O485" s="82">
        <f t="shared" si="102"/>
        <v>36225</v>
      </c>
      <c r="P485" s="82">
        <v>1</v>
      </c>
      <c r="Q485" s="82">
        <v>1</v>
      </c>
      <c r="R485" s="82">
        <f t="shared" si="97"/>
        <v>1012500</v>
      </c>
      <c r="S485" s="82">
        <f t="shared" si="100"/>
        <v>1012500</v>
      </c>
      <c r="T485" s="82">
        <f t="shared" si="98"/>
        <v>0</v>
      </c>
      <c r="U485" s="82">
        <f t="shared" si="96"/>
        <v>1012500</v>
      </c>
      <c r="V485" s="42"/>
    </row>
    <row r="486" spans="1:21" s="42" customFormat="1" ht="20.25" customHeight="1">
      <c r="A486" s="118">
        <v>175</v>
      </c>
      <c r="B486" s="81" t="s">
        <v>46</v>
      </c>
      <c r="C486" s="349" t="s">
        <v>1426</v>
      </c>
      <c r="D486" s="155" t="s">
        <v>1427</v>
      </c>
      <c r="E486" s="102" t="s">
        <v>389</v>
      </c>
      <c r="F486" s="80" t="s">
        <v>1138</v>
      </c>
      <c r="G486" s="66">
        <v>14</v>
      </c>
      <c r="H486" s="104">
        <v>1000</v>
      </c>
      <c r="I486" s="82">
        <v>2</v>
      </c>
      <c r="J486" s="88" t="s">
        <v>40</v>
      </c>
      <c r="K486" s="89">
        <v>1</v>
      </c>
      <c r="L486" s="82"/>
      <c r="M486" s="82">
        <f t="shared" si="99"/>
        <v>700</v>
      </c>
      <c r="N486" s="82">
        <f t="shared" si="101"/>
        <v>735</v>
      </c>
      <c r="O486" s="82">
        <f t="shared" si="102"/>
        <v>33810</v>
      </c>
      <c r="P486" s="82">
        <v>1</v>
      </c>
      <c r="Q486" s="82">
        <v>1</v>
      </c>
      <c r="R486" s="82">
        <f t="shared" si="97"/>
        <v>1012500</v>
      </c>
      <c r="S486" s="82">
        <f>R486*Q486*P486*K486</f>
        <v>1012500</v>
      </c>
      <c r="T486" s="82">
        <f>L486*P486*Q486*R486</f>
        <v>0</v>
      </c>
      <c r="U486" s="82">
        <f>R486*P486*Q486</f>
        <v>1012500</v>
      </c>
    </row>
    <row r="487" spans="1:21" s="42" customFormat="1" ht="20.25" customHeight="1">
      <c r="A487" s="118">
        <v>176</v>
      </c>
      <c r="B487" s="81" t="s">
        <v>46</v>
      </c>
      <c r="C487" s="349" t="s">
        <v>1428</v>
      </c>
      <c r="D487" s="155" t="s">
        <v>1427</v>
      </c>
      <c r="E487" s="102" t="s">
        <v>389</v>
      </c>
      <c r="F487" s="80" t="s">
        <v>1138</v>
      </c>
      <c r="G487" s="66">
        <v>14</v>
      </c>
      <c r="H487" s="104">
        <v>1000</v>
      </c>
      <c r="I487" s="82">
        <v>2</v>
      </c>
      <c r="J487" s="88" t="s">
        <v>40</v>
      </c>
      <c r="K487" s="89">
        <v>1</v>
      </c>
      <c r="L487" s="82"/>
      <c r="M487" s="82">
        <f t="shared" si="99"/>
        <v>700</v>
      </c>
      <c r="N487" s="82">
        <f t="shared" si="101"/>
        <v>735</v>
      </c>
      <c r="O487" s="82">
        <f t="shared" si="102"/>
        <v>33810</v>
      </c>
      <c r="P487" s="82">
        <v>1</v>
      </c>
      <c r="Q487" s="82">
        <v>1</v>
      </c>
      <c r="R487" s="82">
        <f t="shared" si="97"/>
        <v>1012500</v>
      </c>
      <c r="S487" s="82">
        <f>R487*Q487*P487*K487</f>
        <v>1012500</v>
      </c>
      <c r="T487" s="82">
        <f>L487*P487*Q487*R487</f>
        <v>0</v>
      </c>
      <c r="U487" s="82">
        <f>R487*P487*Q487</f>
        <v>1012500</v>
      </c>
    </row>
    <row r="488" spans="1:21" s="42" customFormat="1" ht="20.25" customHeight="1">
      <c r="A488" s="118">
        <v>177</v>
      </c>
      <c r="B488" s="81" t="s">
        <v>46</v>
      </c>
      <c r="C488" s="349" t="s">
        <v>1429</v>
      </c>
      <c r="D488" s="155" t="s">
        <v>1427</v>
      </c>
      <c r="E488" s="102" t="s">
        <v>389</v>
      </c>
      <c r="F488" s="80" t="s">
        <v>1138</v>
      </c>
      <c r="G488" s="66">
        <v>12</v>
      </c>
      <c r="H488" s="104">
        <v>1000</v>
      </c>
      <c r="I488" s="82">
        <v>2</v>
      </c>
      <c r="J488" s="88" t="s">
        <v>40</v>
      </c>
      <c r="K488" s="89">
        <v>1</v>
      </c>
      <c r="L488" s="82"/>
      <c r="M488" s="82">
        <f t="shared" si="99"/>
        <v>600</v>
      </c>
      <c r="N488" s="82">
        <f t="shared" si="101"/>
        <v>630</v>
      </c>
      <c r="O488" s="82">
        <f t="shared" si="102"/>
        <v>28980</v>
      </c>
      <c r="P488" s="82">
        <v>1</v>
      </c>
      <c r="Q488" s="82">
        <v>1</v>
      </c>
      <c r="R488" s="82">
        <f t="shared" si="97"/>
        <v>1012500</v>
      </c>
      <c r="S488" s="82">
        <f>R488*Q488*P488*K488</f>
        <v>1012500</v>
      </c>
      <c r="T488" s="82">
        <f>L488*P488*Q488*R488</f>
        <v>0</v>
      </c>
      <c r="U488" s="82">
        <f>R488*P488*Q488</f>
        <v>1012500</v>
      </c>
    </row>
    <row r="489" spans="1:21" s="42" customFormat="1" ht="20.25" customHeight="1" thickBot="1">
      <c r="A489" s="118">
        <v>178</v>
      </c>
      <c r="B489" s="81" t="s">
        <v>46</v>
      </c>
      <c r="C489" s="349" t="s">
        <v>1516</v>
      </c>
      <c r="D489" s="155" t="s">
        <v>1517</v>
      </c>
      <c r="E489" s="102" t="s">
        <v>386</v>
      </c>
      <c r="F489" s="80" t="s">
        <v>1518</v>
      </c>
      <c r="G489" s="66">
        <v>8</v>
      </c>
      <c r="H489" s="104">
        <v>500</v>
      </c>
      <c r="I489" s="82">
        <v>2</v>
      </c>
      <c r="J489" s="88" t="s">
        <v>62</v>
      </c>
      <c r="K489" s="89">
        <v>1</v>
      </c>
      <c r="L489" s="82"/>
      <c r="M489" s="82">
        <f t="shared" si="99"/>
        <v>200</v>
      </c>
      <c r="N489" s="82">
        <f t="shared" si="101"/>
        <v>210</v>
      </c>
      <c r="O489" s="82">
        <f t="shared" si="102"/>
        <v>9660</v>
      </c>
      <c r="P489" s="82">
        <v>1</v>
      </c>
      <c r="Q489" s="82">
        <v>1</v>
      </c>
      <c r="R489" s="82">
        <f t="shared" si="97"/>
        <v>1012500</v>
      </c>
      <c r="S489" s="82">
        <f>R489*Q489*P489*K489</f>
        <v>1012500</v>
      </c>
      <c r="T489" s="82">
        <f>L489*P489*Q489*R489</f>
        <v>0</v>
      </c>
      <c r="U489" s="82">
        <f>R489*P489*Q489</f>
        <v>1012500</v>
      </c>
    </row>
    <row r="490" spans="1:21" s="42" customFormat="1" ht="22.5" customHeight="1">
      <c r="A490" s="367" t="s">
        <v>1519</v>
      </c>
      <c r="B490" s="368"/>
      <c r="C490" s="369"/>
      <c r="D490" s="369"/>
      <c r="E490" s="368"/>
      <c r="F490" s="368"/>
      <c r="G490" s="370"/>
      <c r="H490" s="368"/>
      <c r="I490" s="368"/>
      <c r="J490" s="371"/>
      <c r="K490" s="372"/>
      <c r="L490" s="372"/>
      <c r="M490" s="368"/>
      <c r="N490" s="368"/>
      <c r="O490" s="368"/>
      <c r="P490" s="368">
        <f>SUM(P312:P489)</f>
        <v>178</v>
      </c>
      <c r="Q490" s="368"/>
      <c r="R490" s="368"/>
      <c r="S490" s="368"/>
      <c r="T490" s="368"/>
      <c r="U490" s="373"/>
    </row>
    <row r="491" spans="1:21" s="47" customFormat="1" ht="20.25" customHeight="1">
      <c r="A491" s="118">
        <v>1</v>
      </c>
      <c r="B491" s="80" t="s">
        <v>46</v>
      </c>
      <c r="C491" s="332" t="s">
        <v>680</v>
      </c>
      <c r="D491" s="261" t="s">
        <v>681</v>
      </c>
      <c r="E491" s="80" t="s">
        <v>384</v>
      </c>
      <c r="F491" s="80" t="s">
        <v>1138</v>
      </c>
      <c r="G491" s="66">
        <v>10</v>
      </c>
      <c r="H491" s="82">
        <v>1000</v>
      </c>
      <c r="I491" s="82">
        <v>2</v>
      </c>
      <c r="J491" s="84" t="s">
        <v>62</v>
      </c>
      <c r="K491" s="86">
        <v>1</v>
      </c>
      <c r="L491" s="82"/>
      <c r="M491" s="82">
        <f aca="true" t="shared" si="103" ref="M491:M522">H491*G491*5/100</f>
        <v>500</v>
      </c>
      <c r="N491" s="82">
        <f>M491*0.15*7</f>
        <v>525</v>
      </c>
      <c r="O491" s="82">
        <f>M491*6.6*7+N491*2</f>
        <v>24150</v>
      </c>
      <c r="P491" s="82">
        <v>1</v>
      </c>
      <c r="Q491" s="82">
        <v>1</v>
      </c>
      <c r="R491" s="82">
        <f>22*$R$2</f>
        <v>495000</v>
      </c>
      <c r="S491" s="82">
        <f aca="true" t="shared" si="104" ref="S491:S553">R491*Q491*P491*K491</f>
        <v>495000</v>
      </c>
      <c r="T491" s="82">
        <f>L491*P491*Q491*R491</f>
        <v>0</v>
      </c>
      <c r="U491" s="82">
        <f t="shared" si="96"/>
        <v>495000</v>
      </c>
    </row>
    <row r="492" spans="1:21" s="47" customFormat="1" ht="20.25" customHeight="1">
      <c r="A492" s="118">
        <v>2</v>
      </c>
      <c r="B492" s="80" t="s">
        <v>46</v>
      </c>
      <c r="C492" s="332" t="s">
        <v>682</v>
      </c>
      <c r="D492" s="261" t="s">
        <v>683</v>
      </c>
      <c r="E492" s="80" t="s">
        <v>378</v>
      </c>
      <c r="F492" s="80" t="s">
        <v>1138</v>
      </c>
      <c r="G492" s="66">
        <v>12</v>
      </c>
      <c r="H492" s="82">
        <v>800</v>
      </c>
      <c r="I492" s="82">
        <v>2</v>
      </c>
      <c r="J492" s="84" t="s">
        <v>991</v>
      </c>
      <c r="K492" s="86">
        <v>0</v>
      </c>
      <c r="L492" s="82">
        <v>1</v>
      </c>
      <c r="M492" s="82">
        <f t="shared" si="103"/>
        <v>480</v>
      </c>
      <c r="N492" s="82">
        <f aca="true" t="shared" si="105" ref="N492:N554">M492*0.15*7</f>
        <v>504</v>
      </c>
      <c r="O492" s="82">
        <f aca="true" t="shared" si="106" ref="O492:O554">M492*6.6*7+N492*2</f>
        <v>23184</v>
      </c>
      <c r="P492" s="82">
        <v>1</v>
      </c>
      <c r="Q492" s="82">
        <v>1</v>
      </c>
      <c r="R492" s="82">
        <f aca="true" t="shared" si="107" ref="R492:R540">22*$R$2</f>
        <v>495000</v>
      </c>
      <c r="S492" s="82">
        <f t="shared" si="104"/>
        <v>0</v>
      </c>
      <c r="T492" s="82">
        <f aca="true" t="shared" si="108" ref="T492:T554">L492*P492*Q492*R492</f>
        <v>495000</v>
      </c>
      <c r="U492" s="82">
        <f t="shared" si="96"/>
        <v>495000</v>
      </c>
    </row>
    <row r="493" spans="1:22" s="47" customFormat="1" ht="20.25" customHeight="1">
      <c r="A493" s="118">
        <v>3</v>
      </c>
      <c r="B493" s="80" t="s">
        <v>46</v>
      </c>
      <c r="C493" s="350" t="s">
        <v>684</v>
      </c>
      <c r="D493" s="269" t="s">
        <v>685</v>
      </c>
      <c r="E493" s="80" t="s">
        <v>686</v>
      </c>
      <c r="F493" s="81" t="s">
        <v>1112</v>
      </c>
      <c r="G493" s="66">
        <v>12</v>
      </c>
      <c r="H493" s="134">
        <v>1200</v>
      </c>
      <c r="I493" s="82">
        <v>2</v>
      </c>
      <c r="J493" s="84" t="s">
        <v>62</v>
      </c>
      <c r="K493" s="86">
        <v>1</v>
      </c>
      <c r="L493" s="134">
        <v>0</v>
      </c>
      <c r="M493" s="82">
        <f t="shared" si="103"/>
        <v>720</v>
      </c>
      <c r="N493" s="82">
        <f t="shared" si="105"/>
        <v>756</v>
      </c>
      <c r="O493" s="82">
        <f t="shared" si="106"/>
        <v>34776</v>
      </c>
      <c r="P493" s="82">
        <v>1</v>
      </c>
      <c r="Q493" s="82">
        <v>1</v>
      </c>
      <c r="R493" s="82">
        <f t="shared" si="107"/>
        <v>495000</v>
      </c>
      <c r="S493" s="82">
        <f t="shared" si="104"/>
        <v>495000</v>
      </c>
      <c r="T493" s="82">
        <f t="shared" si="108"/>
        <v>0</v>
      </c>
      <c r="U493" s="82">
        <f t="shared" si="96"/>
        <v>495000</v>
      </c>
      <c r="V493" s="42"/>
    </row>
    <row r="494" spans="1:22" s="47" customFormat="1" ht="20.25" customHeight="1">
      <c r="A494" s="118">
        <v>4</v>
      </c>
      <c r="B494" s="80" t="s">
        <v>46</v>
      </c>
      <c r="C494" s="350" t="s">
        <v>687</v>
      </c>
      <c r="D494" s="269" t="s">
        <v>685</v>
      </c>
      <c r="E494" s="80" t="s">
        <v>686</v>
      </c>
      <c r="F494" s="81" t="s">
        <v>1112</v>
      </c>
      <c r="G494" s="66">
        <v>12</v>
      </c>
      <c r="H494" s="134">
        <v>1200</v>
      </c>
      <c r="I494" s="82">
        <v>2</v>
      </c>
      <c r="J494" s="84" t="s">
        <v>62</v>
      </c>
      <c r="K494" s="86">
        <v>1</v>
      </c>
      <c r="L494" s="134">
        <v>0</v>
      </c>
      <c r="M494" s="82">
        <f t="shared" si="103"/>
        <v>720</v>
      </c>
      <c r="N494" s="82">
        <f t="shared" si="105"/>
        <v>756</v>
      </c>
      <c r="O494" s="82">
        <f t="shared" si="106"/>
        <v>34776</v>
      </c>
      <c r="P494" s="82">
        <v>1</v>
      </c>
      <c r="Q494" s="82">
        <v>1</v>
      </c>
      <c r="R494" s="82">
        <f t="shared" si="107"/>
        <v>495000</v>
      </c>
      <c r="S494" s="82">
        <f t="shared" si="104"/>
        <v>495000</v>
      </c>
      <c r="T494" s="82">
        <f t="shared" si="108"/>
        <v>0</v>
      </c>
      <c r="U494" s="82">
        <f t="shared" si="96"/>
        <v>495000</v>
      </c>
      <c r="V494" s="42"/>
    </row>
    <row r="495" spans="1:22" s="47" customFormat="1" ht="20.25" customHeight="1">
      <c r="A495" s="118">
        <v>5</v>
      </c>
      <c r="B495" s="80" t="s">
        <v>46</v>
      </c>
      <c r="C495" s="350" t="s">
        <v>688</v>
      </c>
      <c r="D495" s="269" t="s">
        <v>685</v>
      </c>
      <c r="E495" s="80" t="s">
        <v>686</v>
      </c>
      <c r="F495" s="81" t="s">
        <v>1112</v>
      </c>
      <c r="G495" s="66">
        <v>12</v>
      </c>
      <c r="H495" s="134">
        <v>1200</v>
      </c>
      <c r="I495" s="82">
        <v>2</v>
      </c>
      <c r="J495" s="84" t="s">
        <v>62</v>
      </c>
      <c r="K495" s="86">
        <v>1</v>
      </c>
      <c r="L495" s="134">
        <v>0</v>
      </c>
      <c r="M495" s="82">
        <f t="shared" si="103"/>
        <v>720</v>
      </c>
      <c r="N495" s="82">
        <f t="shared" si="105"/>
        <v>756</v>
      </c>
      <c r="O495" s="82">
        <f t="shared" si="106"/>
        <v>34776</v>
      </c>
      <c r="P495" s="82">
        <v>1</v>
      </c>
      <c r="Q495" s="82">
        <v>1</v>
      </c>
      <c r="R495" s="82">
        <f t="shared" si="107"/>
        <v>495000</v>
      </c>
      <c r="S495" s="82">
        <f t="shared" si="104"/>
        <v>495000</v>
      </c>
      <c r="T495" s="82">
        <f t="shared" si="108"/>
        <v>0</v>
      </c>
      <c r="U495" s="82">
        <f t="shared" si="96"/>
        <v>495000</v>
      </c>
      <c r="V495" s="42"/>
    </row>
    <row r="496" spans="1:22" s="47" customFormat="1" ht="20.25" customHeight="1">
      <c r="A496" s="118">
        <v>6</v>
      </c>
      <c r="B496" s="80" t="s">
        <v>46</v>
      </c>
      <c r="C496" s="350" t="s">
        <v>689</v>
      </c>
      <c r="D496" s="269" t="s">
        <v>685</v>
      </c>
      <c r="E496" s="80" t="s">
        <v>686</v>
      </c>
      <c r="F496" s="81" t="s">
        <v>1112</v>
      </c>
      <c r="G496" s="66">
        <v>12</v>
      </c>
      <c r="H496" s="134">
        <v>1200</v>
      </c>
      <c r="I496" s="82">
        <v>2</v>
      </c>
      <c r="J496" s="84" t="s">
        <v>62</v>
      </c>
      <c r="K496" s="86">
        <v>1</v>
      </c>
      <c r="L496" s="134">
        <v>0</v>
      </c>
      <c r="M496" s="82">
        <f t="shared" si="103"/>
        <v>720</v>
      </c>
      <c r="N496" s="82">
        <f t="shared" si="105"/>
        <v>756</v>
      </c>
      <c r="O496" s="82">
        <f t="shared" si="106"/>
        <v>34776</v>
      </c>
      <c r="P496" s="82">
        <v>1</v>
      </c>
      <c r="Q496" s="82">
        <v>1</v>
      </c>
      <c r="R496" s="82">
        <f t="shared" si="107"/>
        <v>495000</v>
      </c>
      <c r="S496" s="82">
        <f t="shared" si="104"/>
        <v>495000</v>
      </c>
      <c r="T496" s="82">
        <f t="shared" si="108"/>
        <v>0</v>
      </c>
      <c r="U496" s="82">
        <f aca="true" t="shared" si="109" ref="U496:U554">S496+T496</f>
        <v>495000</v>
      </c>
      <c r="V496" s="42"/>
    </row>
    <row r="497" spans="1:22" s="47" customFormat="1" ht="20.25" customHeight="1">
      <c r="A497" s="118">
        <v>7</v>
      </c>
      <c r="B497" s="80" t="s">
        <v>46</v>
      </c>
      <c r="C497" s="350" t="s">
        <v>690</v>
      </c>
      <c r="D497" s="269" t="s">
        <v>685</v>
      </c>
      <c r="E497" s="80" t="s">
        <v>686</v>
      </c>
      <c r="F497" s="81" t="s">
        <v>1112</v>
      </c>
      <c r="G497" s="66">
        <v>12</v>
      </c>
      <c r="H497" s="134">
        <v>1200</v>
      </c>
      <c r="I497" s="82">
        <v>2</v>
      </c>
      <c r="J497" s="84" t="s">
        <v>62</v>
      </c>
      <c r="K497" s="86">
        <v>1</v>
      </c>
      <c r="L497" s="134">
        <v>0</v>
      </c>
      <c r="M497" s="82">
        <f t="shared" si="103"/>
        <v>720</v>
      </c>
      <c r="N497" s="82">
        <f t="shared" si="105"/>
        <v>756</v>
      </c>
      <c r="O497" s="82">
        <f t="shared" si="106"/>
        <v>34776</v>
      </c>
      <c r="P497" s="82">
        <v>1</v>
      </c>
      <c r="Q497" s="82">
        <v>1</v>
      </c>
      <c r="R497" s="82">
        <f t="shared" si="107"/>
        <v>495000</v>
      </c>
      <c r="S497" s="82">
        <f t="shared" si="104"/>
        <v>495000</v>
      </c>
      <c r="T497" s="82">
        <f t="shared" si="108"/>
        <v>0</v>
      </c>
      <c r="U497" s="82">
        <f t="shared" si="109"/>
        <v>495000</v>
      </c>
      <c r="V497" s="42"/>
    </row>
    <row r="498" spans="1:22" s="47" customFormat="1" ht="20.25" customHeight="1">
      <c r="A498" s="118">
        <v>8</v>
      </c>
      <c r="B498" s="80" t="s">
        <v>46</v>
      </c>
      <c r="C498" s="350" t="s">
        <v>691</v>
      </c>
      <c r="D498" s="269" t="s">
        <v>685</v>
      </c>
      <c r="E498" s="80" t="s">
        <v>686</v>
      </c>
      <c r="F498" s="81" t="s">
        <v>1112</v>
      </c>
      <c r="G498" s="66">
        <v>12</v>
      </c>
      <c r="H498" s="134">
        <v>1200</v>
      </c>
      <c r="I498" s="82">
        <v>2</v>
      </c>
      <c r="J498" s="84" t="s">
        <v>62</v>
      </c>
      <c r="K498" s="86">
        <v>1</v>
      </c>
      <c r="L498" s="134">
        <v>0</v>
      </c>
      <c r="M498" s="82">
        <f t="shared" si="103"/>
        <v>720</v>
      </c>
      <c r="N498" s="82">
        <f t="shared" si="105"/>
        <v>756</v>
      </c>
      <c r="O498" s="82">
        <f t="shared" si="106"/>
        <v>34776</v>
      </c>
      <c r="P498" s="82">
        <v>1</v>
      </c>
      <c r="Q498" s="82">
        <v>1</v>
      </c>
      <c r="R498" s="82">
        <f t="shared" si="107"/>
        <v>495000</v>
      </c>
      <c r="S498" s="82">
        <f t="shared" si="104"/>
        <v>495000</v>
      </c>
      <c r="T498" s="82">
        <f t="shared" si="108"/>
        <v>0</v>
      </c>
      <c r="U498" s="82">
        <f t="shared" si="109"/>
        <v>495000</v>
      </c>
      <c r="V498" s="42"/>
    </row>
    <row r="499" spans="1:22" s="47" customFormat="1" ht="20.25" customHeight="1">
      <c r="A499" s="118">
        <v>9</v>
      </c>
      <c r="B499" s="80" t="s">
        <v>46</v>
      </c>
      <c r="C499" s="350" t="s">
        <v>692</v>
      </c>
      <c r="D499" s="269" t="s">
        <v>685</v>
      </c>
      <c r="E499" s="80" t="s">
        <v>686</v>
      </c>
      <c r="F499" s="81" t="s">
        <v>1112</v>
      </c>
      <c r="G499" s="66">
        <v>12</v>
      </c>
      <c r="H499" s="134">
        <v>1200</v>
      </c>
      <c r="I499" s="82">
        <v>2</v>
      </c>
      <c r="J499" s="84" t="s">
        <v>62</v>
      </c>
      <c r="K499" s="86">
        <v>1</v>
      </c>
      <c r="L499" s="134">
        <v>0</v>
      </c>
      <c r="M499" s="82">
        <f t="shared" si="103"/>
        <v>720</v>
      </c>
      <c r="N499" s="82">
        <f t="shared" si="105"/>
        <v>756</v>
      </c>
      <c r="O499" s="82">
        <f t="shared" si="106"/>
        <v>34776</v>
      </c>
      <c r="P499" s="82">
        <v>1</v>
      </c>
      <c r="Q499" s="82">
        <v>1</v>
      </c>
      <c r="R499" s="82">
        <f t="shared" si="107"/>
        <v>495000</v>
      </c>
      <c r="S499" s="82">
        <f t="shared" si="104"/>
        <v>495000</v>
      </c>
      <c r="T499" s="82">
        <f t="shared" si="108"/>
        <v>0</v>
      </c>
      <c r="U499" s="82">
        <f t="shared" si="109"/>
        <v>495000</v>
      </c>
      <c r="V499" s="42"/>
    </row>
    <row r="500" spans="1:22" s="47" customFormat="1" ht="20.25" customHeight="1">
      <c r="A500" s="118">
        <v>10</v>
      </c>
      <c r="B500" s="80" t="s">
        <v>46</v>
      </c>
      <c r="C500" s="350" t="s">
        <v>693</v>
      </c>
      <c r="D500" s="269" t="s">
        <v>685</v>
      </c>
      <c r="E500" s="80" t="s">
        <v>686</v>
      </c>
      <c r="F500" s="81" t="s">
        <v>1112</v>
      </c>
      <c r="G500" s="66">
        <v>12</v>
      </c>
      <c r="H500" s="134">
        <v>1200</v>
      </c>
      <c r="I500" s="82">
        <v>2</v>
      </c>
      <c r="J500" s="84" t="s">
        <v>62</v>
      </c>
      <c r="K500" s="86">
        <v>1</v>
      </c>
      <c r="L500" s="134">
        <v>0</v>
      </c>
      <c r="M500" s="82">
        <f t="shared" si="103"/>
        <v>720</v>
      </c>
      <c r="N500" s="82">
        <f t="shared" si="105"/>
        <v>756</v>
      </c>
      <c r="O500" s="82">
        <f t="shared" si="106"/>
        <v>34776</v>
      </c>
      <c r="P500" s="82">
        <v>1</v>
      </c>
      <c r="Q500" s="82">
        <v>1</v>
      </c>
      <c r="R500" s="82">
        <f t="shared" si="107"/>
        <v>495000</v>
      </c>
      <c r="S500" s="82">
        <f t="shared" si="104"/>
        <v>495000</v>
      </c>
      <c r="T500" s="82">
        <f t="shared" si="108"/>
        <v>0</v>
      </c>
      <c r="U500" s="82">
        <f t="shared" si="109"/>
        <v>495000</v>
      </c>
      <c r="V500" s="42"/>
    </row>
    <row r="501" spans="1:22" s="47" customFormat="1" ht="20.25" customHeight="1">
      <c r="A501" s="118">
        <v>11</v>
      </c>
      <c r="B501" s="80" t="s">
        <v>46</v>
      </c>
      <c r="C501" s="350" t="s">
        <v>694</v>
      </c>
      <c r="D501" s="269" t="s">
        <v>685</v>
      </c>
      <c r="E501" s="80" t="s">
        <v>686</v>
      </c>
      <c r="F501" s="81" t="s">
        <v>1112</v>
      </c>
      <c r="G501" s="66">
        <v>12</v>
      </c>
      <c r="H501" s="134">
        <v>1200</v>
      </c>
      <c r="I501" s="82">
        <v>2</v>
      </c>
      <c r="J501" s="84" t="s">
        <v>62</v>
      </c>
      <c r="K501" s="86">
        <v>1</v>
      </c>
      <c r="L501" s="134">
        <v>0</v>
      </c>
      <c r="M501" s="82">
        <f t="shared" si="103"/>
        <v>720</v>
      </c>
      <c r="N501" s="82">
        <f t="shared" si="105"/>
        <v>756</v>
      </c>
      <c r="O501" s="82">
        <f t="shared" si="106"/>
        <v>34776</v>
      </c>
      <c r="P501" s="82">
        <v>1</v>
      </c>
      <c r="Q501" s="82">
        <v>1</v>
      </c>
      <c r="R501" s="82">
        <f t="shared" si="107"/>
        <v>495000</v>
      </c>
      <c r="S501" s="82">
        <f t="shared" si="104"/>
        <v>495000</v>
      </c>
      <c r="T501" s="82">
        <f t="shared" si="108"/>
        <v>0</v>
      </c>
      <c r="U501" s="82">
        <f t="shared" si="109"/>
        <v>495000</v>
      </c>
      <c r="V501" s="42"/>
    </row>
    <row r="502" spans="1:22" s="47" customFormat="1" ht="20.25" customHeight="1">
      <c r="A502" s="118">
        <v>12</v>
      </c>
      <c r="B502" s="80" t="s">
        <v>46</v>
      </c>
      <c r="C502" s="350" t="s">
        <v>695</v>
      </c>
      <c r="D502" s="269" t="s">
        <v>685</v>
      </c>
      <c r="E502" s="80" t="s">
        <v>686</v>
      </c>
      <c r="F502" s="81" t="s">
        <v>1112</v>
      </c>
      <c r="G502" s="66">
        <v>12</v>
      </c>
      <c r="H502" s="134">
        <v>1000</v>
      </c>
      <c r="I502" s="82">
        <v>2</v>
      </c>
      <c r="J502" s="84" t="s">
        <v>62</v>
      </c>
      <c r="K502" s="86">
        <v>1</v>
      </c>
      <c r="L502" s="134">
        <v>0</v>
      </c>
      <c r="M502" s="82">
        <f t="shared" si="103"/>
        <v>600</v>
      </c>
      <c r="N502" s="82">
        <f t="shared" si="105"/>
        <v>630</v>
      </c>
      <c r="O502" s="82">
        <f t="shared" si="106"/>
        <v>28980</v>
      </c>
      <c r="P502" s="82">
        <v>1</v>
      </c>
      <c r="Q502" s="82">
        <v>1</v>
      </c>
      <c r="R502" s="82">
        <f t="shared" si="107"/>
        <v>495000</v>
      </c>
      <c r="S502" s="82">
        <f t="shared" si="104"/>
        <v>495000</v>
      </c>
      <c r="T502" s="82">
        <f t="shared" si="108"/>
        <v>0</v>
      </c>
      <c r="U502" s="82">
        <f t="shared" si="109"/>
        <v>495000</v>
      </c>
      <c r="V502" s="42"/>
    </row>
    <row r="503" spans="1:22" s="47" customFormat="1" ht="20.25" customHeight="1">
      <c r="A503" s="118">
        <v>13</v>
      </c>
      <c r="B503" s="80" t="s">
        <v>46</v>
      </c>
      <c r="C503" s="350" t="s">
        <v>696</v>
      </c>
      <c r="D503" s="269" t="s">
        <v>685</v>
      </c>
      <c r="E503" s="80" t="s">
        <v>686</v>
      </c>
      <c r="F503" s="81" t="s">
        <v>1112</v>
      </c>
      <c r="G503" s="66">
        <v>8</v>
      </c>
      <c r="H503" s="134">
        <v>1000</v>
      </c>
      <c r="I503" s="82">
        <v>2</v>
      </c>
      <c r="J503" s="84" t="s">
        <v>62</v>
      </c>
      <c r="K503" s="86">
        <v>1</v>
      </c>
      <c r="L503" s="134">
        <v>0</v>
      </c>
      <c r="M503" s="82">
        <f t="shared" si="103"/>
        <v>400</v>
      </c>
      <c r="N503" s="82">
        <f t="shared" si="105"/>
        <v>420</v>
      </c>
      <c r="O503" s="82">
        <f t="shared" si="106"/>
        <v>19320</v>
      </c>
      <c r="P503" s="82">
        <v>1</v>
      </c>
      <c r="Q503" s="82">
        <v>1</v>
      </c>
      <c r="R503" s="82">
        <f t="shared" si="107"/>
        <v>495000</v>
      </c>
      <c r="S503" s="82">
        <f t="shared" si="104"/>
        <v>495000</v>
      </c>
      <c r="T503" s="82">
        <f t="shared" si="108"/>
        <v>0</v>
      </c>
      <c r="U503" s="82">
        <f t="shared" si="109"/>
        <v>495000</v>
      </c>
      <c r="V503" s="42"/>
    </row>
    <row r="504" spans="1:22" s="47" customFormat="1" ht="20.25" customHeight="1">
      <c r="A504" s="118">
        <v>14</v>
      </c>
      <c r="B504" s="80" t="s">
        <v>46</v>
      </c>
      <c r="C504" s="350" t="s">
        <v>697</v>
      </c>
      <c r="D504" s="269" t="s">
        <v>685</v>
      </c>
      <c r="E504" s="80" t="s">
        <v>686</v>
      </c>
      <c r="F504" s="81" t="s">
        <v>1112</v>
      </c>
      <c r="G504" s="66">
        <v>8</v>
      </c>
      <c r="H504" s="134">
        <v>1000</v>
      </c>
      <c r="I504" s="82">
        <v>2</v>
      </c>
      <c r="J504" s="84" t="s">
        <v>62</v>
      </c>
      <c r="K504" s="86">
        <v>1</v>
      </c>
      <c r="L504" s="134">
        <v>0</v>
      </c>
      <c r="M504" s="82">
        <f t="shared" si="103"/>
        <v>400</v>
      </c>
      <c r="N504" s="82">
        <f t="shared" si="105"/>
        <v>420</v>
      </c>
      <c r="O504" s="82">
        <f t="shared" si="106"/>
        <v>19320</v>
      </c>
      <c r="P504" s="82">
        <v>1</v>
      </c>
      <c r="Q504" s="82">
        <v>1</v>
      </c>
      <c r="R504" s="82">
        <f t="shared" si="107"/>
        <v>495000</v>
      </c>
      <c r="S504" s="82">
        <f t="shared" si="104"/>
        <v>495000</v>
      </c>
      <c r="T504" s="82">
        <f t="shared" si="108"/>
        <v>0</v>
      </c>
      <c r="U504" s="82">
        <f t="shared" si="109"/>
        <v>495000</v>
      </c>
      <c r="V504" s="42"/>
    </row>
    <row r="505" spans="1:22" s="47" customFormat="1" ht="20.25" customHeight="1">
      <c r="A505" s="118">
        <v>15</v>
      </c>
      <c r="B505" s="80" t="s">
        <v>46</v>
      </c>
      <c r="C505" s="350" t="s">
        <v>698</v>
      </c>
      <c r="D505" s="269" t="s">
        <v>685</v>
      </c>
      <c r="E505" s="80" t="s">
        <v>686</v>
      </c>
      <c r="F505" s="81" t="s">
        <v>1112</v>
      </c>
      <c r="G505" s="66">
        <v>10</v>
      </c>
      <c r="H505" s="134">
        <v>1200</v>
      </c>
      <c r="I505" s="82">
        <v>2</v>
      </c>
      <c r="J505" s="84" t="s">
        <v>62</v>
      </c>
      <c r="K505" s="86">
        <v>1</v>
      </c>
      <c r="L505" s="134">
        <v>0</v>
      </c>
      <c r="M505" s="82">
        <f t="shared" si="103"/>
        <v>600</v>
      </c>
      <c r="N505" s="82">
        <f t="shared" si="105"/>
        <v>630</v>
      </c>
      <c r="O505" s="82">
        <f t="shared" si="106"/>
        <v>28980</v>
      </c>
      <c r="P505" s="82">
        <v>1</v>
      </c>
      <c r="Q505" s="82">
        <v>1</v>
      </c>
      <c r="R505" s="82">
        <f t="shared" si="107"/>
        <v>495000</v>
      </c>
      <c r="S505" s="82">
        <f t="shared" si="104"/>
        <v>495000</v>
      </c>
      <c r="T505" s="82">
        <f t="shared" si="108"/>
        <v>0</v>
      </c>
      <c r="U505" s="82">
        <f t="shared" si="109"/>
        <v>495000</v>
      </c>
      <c r="V505" s="42"/>
    </row>
    <row r="506" spans="1:22" s="47" customFormat="1" ht="20.25" customHeight="1">
      <c r="A506" s="118">
        <v>16</v>
      </c>
      <c r="B506" s="80" t="s">
        <v>46</v>
      </c>
      <c r="C506" s="350" t="s">
        <v>699</v>
      </c>
      <c r="D506" s="269" t="s">
        <v>685</v>
      </c>
      <c r="E506" s="80" t="s">
        <v>686</v>
      </c>
      <c r="F506" s="81" t="s">
        <v>1112</v>
      </c>
      <c r="G506" s="66">
        <v>10</v>
      </c>
      <c r="H506" s="134">
        <v>1200</v>
      </c>
      <c r="I506" s="82">
        <v>2</v>
      </c>
      <c r="J506" s="84" t="s">
        <v>62</v>
      </c>
      <c r="K506" s="86">
        <v>1</v>
      </c>
      <c r="L506" s="134">
        <v>0</v>
      </c>
      <c r="M506" s="82">
        <f t="shared" si="103"/>
        <v>600</v>
      </c>
      <c r="N506" s="82">
        <f t="shared" si="105"/>
        <v>630</v>
      </c>
      <c r="O506" s="82">
        <f t="shared" si="106"/>
        <v>28980</v>
      </c>
      <c r="P506" s="82">
        <v>1</v>
      </c>
      <c r="Q506" s="82">
        <v>1</v>
      </c>
      <c r="R506" s="82">
        <f t="shared" si="107"/>
        <v>495000</v>
      </c>
      <c r="S506" s="82">
        <f t="shared" si="104"/>
        <v>495000</v>
      </c>
      <c r="T506" s="82">
        <f t="shared" si="108"/>
        <v>0</v>
      </c>
      <c r="U506" s="82">
        <f t="shared" si="109"/>
        <v>495000</v>
      </c>
      <c r="V506" s="42"/>
    </row>
    <row r="507" spans="1:22" s="47" customFormat="1" ht="20.25" customHeight="1">
      <c r="A507" s="118">
        <v>17</v>
      </c>
      <c r="B507" s="80" t="s">
        <v>46</v>
      </c>
      <c r="C507" s="350" t="s">
        <v>700</v>
      </c>
      <c r="D507" s="269" t="s">
        <v>685</v>
      </c>
      <c r="E507" s="80" t="s">
        <v>686</v>
      </c>
      <c r="F507" s="81" t="s">
        <v>1112</v>
      </c>
      <c r="G507" s="66">
        <v>10</v>
      </c>
      <c r="H507" s="134">
        <v>1200</v>
      </c>
      <c r="I507" s="82">
        <v>2</v>
      </c>
      <c r="J507" s="84" t="s">
        <v>62</v>
      </c>
      <c r="K507" s="86">
        <v>1</v>
      </c>
      <c r="L507" s="134">
        <v>0</v>
      </c>
      <c r="M507" s="82">
        <f t="shared" si="103"/>
        <v>600</v>
      </c>
      <c r="N507" s="82">
        <f t="shared" si="105"/>
        <v>630</v>
      </c>
      <c r="O507" s="82">
        <f t="shared" si="106"/>
        <v>28980</v>
      </c>
      <c r="P507" s="82">
        <v>1</v>
      </c>
      <c r="Q507" s="82">
        <v>1</v>
      </c>
      <c r="R507" s="82">
        <f t="shared" si="107"/>
        <v>495000</v>
      </c>
      <c r="S507" s="82">
        <f t="shared" si="104"/>
        <v>495000</v>
      </c>
      <c r="T507" s="82">
        <f t="shared" si="108"/>
        <v>0</v>
      </c>
      <c r="U507" s="82">
        <f t="shared" si="109"/>
        <v>495000</v>
      </c>
      <c r="V507" s="42"/>
    </row>
    <row r="508" spans="1:22" s="47" customFormat="1" ht="20.25" customHeight="1">
      <c r="A508" s="118">
        <v>18</v>
      </c>
      <c r="B508" s="80" t="s">
        <v>46</v>
      </c>
      <c r="C508" s="350" t="s">
        <v>900</v>
      </c>
      <c r="D508" s="269" t="s">
        <v>685</v>
      </c>
      <c r="E508" s="80" t="s">
        <v>686</v>
      </c>
      <c r="F508" s="81" t="s">
        <v>1112</v>
      </c>
      <c r="G508" s="66">
        <v>9</v>
      </c>
      <c r="H508" s="134">
        <v>1000</v>
      </c>
      <c r="I508" s="82">
        <v>1</v>
      </c>
      <c r="J508" s="84" t="s">
        <v>77</v>
      </c>
      <c r="K508" s="86">
        <v>1</v>
      </c>
      <c r="L508" s="82">
        <v>0</v>
      </c>
      <c r="M508" s="82">
        <f t="shared" si="103"/>
        <v>450</v>
      </c>
      <c r="N508" s="82">
        <f t="shared" si="105"/>
        <v>472.5</v>
      </c>
      <c r="O508" s="82">
        <f t="shared" si="106"/>
        <v>21735</v>
      </c>
      <c r="P508" s="82">
        <v>1</v>
      </c>
      <c r="Q508" s="82">
        <v>1</v>
      </c>
      <c r="R508" s="82">
        <f t="shared" si="107"/>
        <v>495000</v>
      </c>
      <c r="S508" s="82">
        <f t="shared" si="104"/>
        <v>495000</v>
      </c>
      <c r="T508" s="82">
        <f t="shared" si="108"/>
        <v>0</v>
      </c>
      <c r="U508" s="82">
        <f t="shared" si="109"/>
        <v>495000</v>
      </c>
      <c r="V508" s="42"/>
    </row>
    <row r="509" spans="1:22" s="47" customFormat="1" ht="20.25" customHeight="1">
      <c r="A509" s="118">
        <v>19</v>
      </c>
      <c r="B509" s="80" t="s">
        <v>46</v>
      </c>
      <c r="C509" s="350" t="s">
        <v>901</v>
      </c>
      <c r="D509" s="269" t="s">
        <v>685</v>
      </c>
      <c r="E509" s="80" t="s">
        <v>686</v>
      </c>
      <c r="F509" s="81" t="s">
        <v>1112</v>
      </c>
      <c r="G509" s="66">
        <v>9</v>
      </c>
      <c r="H509" s="134">
        <v>1000</v>
      </c>
      <c r="I509" s="139">
        <v>1</v>
      </c>
      <c r="J509" s="84" t="s">
        <v>77</v>
      </c>
      <c r="K509" s="86">
        <v>1</v>
      </c>
      <c r="L509" s="82">
        <v>0</v>
      </c>
      <c r="M509" s="82">
        <f t="shared" si="103"/>
        <v>450</v>
      </c>
      <c r="N509" s="82">
        <f t="shared" si="105"/>
        <v>472.5</v>
      </c>
      <c r="O509" s="82">
        <f t="shared" si="106"/>
        <v>21735</v>
      </c>
      <c r="P509" s="82">
        <v>1</v>
      </c>
      <c r="Q509" s="82">
        <v>1</v>
      </c>
      <c r="R509" s="82">
        <f t="shared" si="107"/>
        <v>495000</v>
      </c>
      <c r="S509" s="82">
        <f t="shared" si="104"/>
        <v>495000</v>
      </c>
      <c r="T509" s="82">
        <f t="shared" si="108"/>
        <v>0</v>
      </c>
      <c r="U509" s="82">
        <f t="shared" si="109"/>
        <v>495000</v>
      </c>
      <c r="V509" s="42"/>
    </row>
    <row r="510" spans="1:22" s="47" customFormat="1" ht="20.25" customHeight="1">
      <c r="A510" s="118">
        <v>20</v>
      </c>
      <c r="B510" s="80" t="s">
        <v>46</v>
      </c>
      <c r="C510" s="350" t="s">
        <v>902</v>
      </c>
      <c r="D510" s="269" t="s">
        <v>685</v>
      </c>
      <c r="E510" s="80" t="s">
        <v>686</v>
      </c>
      <c r="F510" s="81" t="s">
        <v>1112</v>
      </c>
      <c r="G510" s="140">
        <v>6</v>
      </c>
      <c r="H510" s="134">
        <v>1000</v>
      </c>
      <c r="I510" s="139">
        <v>2</v>
      </c>
      <c r="J510" s="84" t="s">
        <v>77</v>
      </c>
      <c r="K510" s="86">
        <v>1</v>
      </c>
      <c r="L510" s="82">
        <v>0</v>
      </c>
      <c r="M510" s="82">
        <f t="shared" si="103"/>
        <v>300</v>
      </c>
      <c r="N510" s="82">
        <f t="shared" si="105"/>
        <v>315</v>
      </c>
      <c r="O510" s="82">
        <f t="shared" si="106"/>
        <v>14490</v>
      </c>
      <c r="P510" s="82">
        <v>1</v>
      </c>
      <c r="Q510" s="82">
        <v>1</v>
      </c>
      <c r="R510" s="82">
        <f>22*$R$2</f>
        <v>495000</v>
      </c>
      <c r="S510" s="82">
        <f t="shared" si="104"/>
        <v>495000</v>
      </c>
      <c r="T510" s="82">
        <f t="shared" si="108"/>
        <v>0</v>
      </c>
      <c r="U510" s="82">
        <f t="shared" si="109"/>
        <v>495000</v>
      </c>
      <c r="V510" s="42"/>
    </row>
    <row r="511" spans="1:22" s="47" customFormat="1" ht="20.25" customHeight="1">
      <c r="A511" s="118">
        <v>21</v>
      </c>
      <c r="B511" s="80" t="s">
        <v>46</v>
      </c>
      <c r="C511" s="350" t="s">
        <v>903</v>
      </c>
      <c r="D511" s="269" t="s">
        <v>685</v>
      </c>
      <c r="E511" s="80" t="s">
        <v>686</v>
      </c>
      <c r="F511" s="81" t="s">
        <v>1112</v>
      </c>
      <c r="G511" s="140">
        <v>6</v>
      </c>
      <c r="H511" s="134">
        <v>1000</v>
      </c>
      <c r="I511" s="139">
        <v>2</v>
      </c>
      <c r="J511" s="84" t="s">
        <v>77</v>
      </c>
      <c r="K511" s="86">
        <v>1</v>
      </c>
      <c r="L511" s="82">
        <v>0</v>
      </c>
      <c r="M511" s="82">
        <f t="shared" si="103"/>
        <v>300</v>
      </c>
      <c r="N511" s="82">
        <f t="shared" si="105"/>
        <v>315</v>
      </c>
      <c r="O511" s="82">
        <f t="shared" si="106"/>
        <v>14490</v>
      </c>
      <c r="P511" s="82">
        <v>1</v>
      </c>
      <c r="Q511" s="82">
        <v>1</v>
      </c>
      <c r="R511" s="82">
        <f t="shared" si="107"/>
        <v>495000</v>
      </c>
      <c r="S511" s="82">
        <f t="shared" si="104"/>
        <v>495000</v>
      </c>
      <c r="T511" s="82">
        <f t="shared" si="108"/>
        <v>0</v>
      </c>
      <c r="U511" s="82">
        <f t="shared" si="109"/>
        <v>495000</v>
      </c>
      <c r="V511" s="42"/>
    </row>
    <row r="512" spans="1:22" s="47" customFormat="1" ht="20.25" customHeight="1">
      <c r="A512" s="118">
        <v>22</v>
      </c>
      <c r="B512" s="80" t="s">
        <v>46</v>
      </c>
      <c r="C512" s="350" t="s">
        <v>904</v>
      </c>
      <c r="D512" s="269" t="s">
        <v>685</v>
      </c>
      <c r="E512" s="80" t="s">
        <v>686</v>
      </c>
      <c r="F512" s="81" t="s">
        <v>1112</v>
      </c>
      <c r="G512" s="140">
        <v>6</v>
      </c>
      <c r="H512" s="134">
        <v>1000</v>
      </c>
      <c r="I512" s="139">
        <v>2</v>
      </c>
      <c r="J512" s="84" t="s">
        <v>77</v>
      </c>
      <c r="K512" s="86">
        <v>1</v>
      </c>
      <c r="L512" s="82">
        <v>0</v>
      </c>
      <c r="M512" s="82">
        <f t="shared" si="103"/>
        <v>300</v>
      </c>
      <c r="N512" s="82">
        <f t="shared" si="105"/>
        <v>315</v>
      </c>
      <c r="O512" s="82">
        <f t="shared" si="106"/>
        <v>14490</v>
      </c>
      <c r="P512" s="82">
        <v>1</v>
      </c>
      <c r="Q512" s="82">
        <v>1</v>
      </c>
      <c r="R512" s="82">
        <f t="shared" si="107"/>
        <v>495000</v>
      </c>
      <c r="S512" s="82">
        <f t="shared" si="104"/>
        <v>495000</v>
      </c>
      <c r="T512" s="82">
        <f t="shared" si="108"/>
        <v>0</v>
      </c>
      <c r="U512" s="82">
        <f t="shared" si="109"/>
        <v>495000</v>
      </c>
      <c r="V512" s="42"/>
    </row>
    <row r="513" spans="1:22" s="47" customFormat="1" ht="20.25" customHeight="1">
      <c r="A513" s="118">
        <v>23</v>
      </c>
      <c r="B513" s="80" t="s">
        <v>46</v>
      </c>
      <c r="C513" s="350" t="s">
        <v>905</v>
      </c>
      <c r="D513" s="269" t="s">
        <v>685</v>
      </c>
      <c r="E513" s="80" t="s">
        <v>686</v>
      </c>
      <c r="F513" s="81" t="s">
        <v>1112</v>
      </c>
      <c r="G513" s="140">
        <v>6</v>
      </c>
      <c r="H513" s="134">
        <v>1000</v>
      </c>
      <c r="I513" s="139">
        <v>2</v>
      </c>
      <c r="J513" s="84" t="s">
        <v>77</v>
      </c>
      <c r="K513" s="86">
        <v>1</v>
      </c>
      <c r="L513" s="82">
        <v>0</v>
      </c>
      <c r="M513" s="82">
        <f t="shared" si="103"/>
        <v>300</v>
      </c>
      <c r="N513" s="82">
        <f t="shared" si="105"/>
        <v>315</v>
      </c>
      <c r="O513" s="82">
        <f t="shared" si="106"/>
        <v>14490</v>
      </c>
      <c r="P513" s="82">
        <v>1</v>
      </c>
      <c r="Q513" s="82">
        <v>1</v>
      </c>
      <c r="R513" s="82">
        <f t="shared" si="107"/>
        <v>495000</v>
      </c>
      <c r="S513" s="82">
        <f t="shared" si="104"/>
        <v>495000</v>
      </c>
      <c r="T513" s="82">
        <f t="shared" si="108"/>
        <v>0</v>
      </c>
      <c r="U513" s="82">
        <f t="shared" si="109"/>
        <v>495000</v>
      </c>
      <c r="V513" s="42"/>
    </row>
    <row r="514" spans="1:22" s="47" customFormat="1" ht="20.25" customHeight="1">
      <c r="A514" s="118">
        <v>24</v>
      </c>
      <c r="B514" s="80" t="s">
        <v>46</v>
      </c>
      <c r="C514" s="350" t="s">
        <v>906</v>
      </c>
      <c r="D514" s="269" t="s">
        <v>685</v>
      </c>
      <c r="E514" s="80" t="s">
        <v>686</v>
      </c>
      <c r="F514" s="81" t="s">
        <v>1112</v>
      </c>
      <c r="G514" s="140">
        <v>6</v>
      </c>
      <c r="H514" s="134">
        <v>1000</v>
      </c>
      <c r="I514" s="139">
        <v>2</v>
      </c>
      <c r="J514" s="84" t="s">
        <v>62</v>
      </c>
      <c r="K514" s="86">
        <v>1</v>
      </c>
      <c r="L514" s="82">
        <v>0</v>
      </c>
      <c r="M514" s="82">
        <f t="shared" si="103"/>
        <v>300</v>
      </c>
      <c r="N514" s="82">
        <f t="shared" si="105"/>
        <v>315</v>
      </c>
      <c r="O514" s="82">
        <f t="shared" si="106"/>
        <v>14490</v>
      </c>
      <c r="P514" s="82">
        <v>1</v>
      </c>
      <c r="Q514" s="82">
        <v>1</v>
      </c>
      <c r="R514" s="82">
        <f t="shared" si="107"/>
        <v>495000</v>
      </c>
      <c r="S514" s="82">
        <f t="shared" si="104"/>
        <v>495000</v>
      </c>
      <c r="T514" s="82">
        <f t="shared" si="108"/>
        <v>0</v>
      </c>
      <c r="U514" s="82">
        <f t="shared" si="109"/>
        <v>495000</v>
      </c>
      <c r="V514" s="42"/>
    </row>
    <row r="515" spans="1:22" s="47" customFormat="1" ht="20.25" customHeight="1">
      <c r="A515" s="118">
        <v>25</v>
      </c>
      <c r="B515" s="80" t="s">
        <v>46</v>
      </c>
      <c r="C515" s="350" t="s">
        <v>907</v>
      </c>
      <c r="D515" s="269" t="s">
        <v>685</v>
      </c>
      <c r="E515" s="80" t="s">
        <v>686</v>
      </c>
      <c r="F515" s="81" t="s">
        <v>1112</v>
      </c>
      <c r="G515" s="140">
        <v>6</v>
      </c>
      <c r="H515" s="134">
        <v>1000</v>
      </c>
      <c r="I515" s="139">
        <v>2</v>
      </c>
      <c r="J515" s="84" t="s">
        <v>62</v>
      </c>
      <c r="K515" s="86">
        <v>1</v>
      </c>
      <c r="L515" s="82">
        <v>0</v>
      </c>
      <c r="M515" s="82">
        <f t="shared" si="103"/>
        <v>300</v>
      </c>
      <c r="N515" s="82">
        <f t="shared" si="105"/>
        <v>315</v>
      </c>
      <c r="O515" s="82">
        <f t="shared" si="106"/>
        <v>14490</v>
      </c>
      <c r="P515" s="82">
        <v>1</v>
      </c>
      <c r="Q515" s="82">
        <v>1</v>
      </c>
      <c r="R515" s="82">
        <f t="shared" si="107"/>
        <v>495000</v>
      </c>
      <c r="S515" s="82">
        <f t="shared" si="104"/>
        <v>495000</v>
      </c>
      <c r="T515" s="82">
        <f t="shared" si="108"/>
        <v>0</v>
      </c>
      <c r="U515" s="82">
        <f t="shared" si="109"/>
        <v>495000</v>
      </c>
      <c r="V515" s="42"/>
    </row>
    <row r="516" spans="1:22" s="47" customFormat="1" ht="20.25" customHeight="1">
      <c r="A516" s="118">
        <v>26</v>
      </c>
      <c r="B516" s="80" t="s">
        <v>46</v>
      </c>
      <c r="C516" s="350" t="s">
        <v>908</v>
      </c>
      <c r="D516" s="269" t="s">
        <v>685</v>
      </c>
      <c r="E516" s="80" t="s">
        <v>686</v>
      </c>
      <c r="F516" s="81" t="s">
        <v>1112</v>
      </c>
      <c r="G516" s="140">
        <v>6</v>
      </c>
      <c r="H516" s="134">
        <v>1500</v>
      </c>
      <c r="I516" s="139">
        <v>2</v>
      </c>
      <c r="J516" s="84" t="s">
        <v>62</v>
      </c>
      <c r="K516" s="86">
        <v>1</v>
      </c>
      <c r="L516" s="82">
        <v>0</v>
      </c>
      <c r="M516" s="82">
        <f t="shared" si="103"/>
        <v>450</v>
      </c>
      <c r="N516" s="82">
        <f t="shared" si="105"/>
        <v>472.5</v>
      </c>
      <c r="O516" s="82">
        <f t="shared" si="106"/>
        <v>21735</v>
      </c>
      <c r="P516" s="82">
        <v>1</v>
      </c>
      <c r="Q516" s="82">
        <v>1</v>
      </c>
      <c r="R516" s="82">
        <f t="shared" si="107"/>
        <v>495000</v>
      </c>
      <c r="S516" s="82">
        <f t="shared" si="104"/>
        <v>495000</v>
      </c>
      <c r="T516" s="82">
        <f t="shared" si="108"/>
        <v>0</v>
      </c>
      <c r="U516" s="82">
        <f t="shared" si="109"/>
        <v>495000</v>
      </c>
      <c r="V516" s="42"/>
    </row>
    <row r="517" spans="1:22" s="47" customFormat="1" ht="20.25" customHeight="1">
      <c r="A517" s="118">
        <v>27</v>
      </c>
      <c r="B517" s="80" t="s">
        <v>46</v>
      </c>
      <c r="C517" s="350" t="s">
        <v>909</v>
      </c>
      <c r="D517" s="269" t="s">
        <v>685</v>
      </c>
      <c r="E517" s="80" t="s">
        <v>686</v>
      </c>
      <c r="F517" s="81" t="s">
        <v>1112</v>
      </c>
      <c r="G517" s="140">
        <v>6</v>
      </c>
      <c r="H517" s="134">
        <v>1000</v>
      </c>
      <c r="I517" s="139">
        <v>1</v>
      </c>
      <c r="J517" s="84" t="s">
        <v>77</v>
      </c>
      <c r="K517" s="86">
        <v>1</v>
      </c>
      <c r="L517" s="82">
        <v>0</v>
      </c>
      <c r="M517" s="82">
        <f t="shared" si="103"/>
        <v>300</v>
      </c>
      <c r="N517" s="82">
        <f t="shared" si="105"/>
        <v>315</v>
      </c>
      <c r="O517" s="82">
        <f t="shared" si="106"/>
        <v>14490</v>
      </c>
      <c r="P517" s="82">
        <v>1</v>
      </c>
      <c r="Q517" s="82">
        <v>1</v>
      </c>
      <c r="R517" s="82">
        <f t="shared" si="107"/>
        <v>495000</v>
      </c>
      <c r="S517" s="82">
        <f t="shared" si="104"/>
        <v>495000</v>
      </c>
      <c r="T517" s="82">
        <f t="shared" si="108"/>
        <v>0</v>
      </c>
      <c r="U517" s="82">
        <f t="shared" si="109"/>
        <v>495000</v>
      </c>
      <c r="V517" s="42"/>
    </row>
    <row r="518" spans="1:22" s="47" customFormat="1" ht="20.25" customHeight="1">
      <c r="A518" s="118">
        <v>28</v>
      </c>
      <c r="B518" s="80" t="s">
        <v>46</v>
      </c>
      <c r="C518" s="350" t="s">
        <v>910</v>
      </c>
      <c r="D518" s="269" t="s">
        <v>685</v>
      </c>
      <c r="E518" s="80" t="s">
        <v>686</v>
      </c>
      <c r="F518" s="81" t="s">
        <v>1112</v>
      </c>
      <c r="G518" s="140">
        <v>6</v>
      </c>
      <c r="H518" s="134">
        <v>1500</v>
      </c>
      <c r="I518" s="139">
        <v>2</v>
      </c>
      <c r="J518" s="84" t="s">
        <v>62</v>
      </c>
      <c r="K518" s="86">
        <v>1</v>
      </c>
      <c r="L518" s="82">
        <v>0</v>
      </c>
      <c r="M518" s="82">
        <f t="shared" si="103"/>
        <v>450</v>
      </c>
      <c r="N518" s="82">
        <f t="shared" si="105"/>
        <v>472.5</v>
      </c>
      <c r="O518" s="82">
        <f t="shared" si="106"/>
        <v>21735</v>
      </c>
      <c r="P518" s="82">
        <v>1</v>
      </c>
      <c r="Q518" s="82">
        <v>1</v>
      </c>
      <c r="R518" s="82">
        <f t="shared" si="107"/>
        <v>495000</v>
      </c>
      <c r="S518" s="82">
        <f t="shared" si="104"/>
        <v>495000</v>
      </c>
      <c r="T518" s="82">
        <f t="shared" si="108"/>
        <v>0</v>
      </c>
      <c r="U518" s="82">
        <f t="shared" si="109"/>
        <v>495000</v>
      </c>
      <c r="V518" s="42"/>
    </row>
    <row r="519" spans="1:22" s="47" customFormat="1" ht="20.25" customHeight="1">
      <c r="A519" s="118">
        <v>29</v>
      </c>
      <c r="B519" s="121" t="s">
        <v>46</v>
      </c>
      <c r="C519" s="350" t="s">
        <v>911</v>
      </c>
      <c r="D519" s="269" t="s">
        <v>685</v>
      </c>
      <c r="E519" s="80" t="s">
        <v>686</v>
      </c>
      <c r="F519" s="81" t="s">
        <v>1112</v>
      </c>
      <c r="G519" s="140">
        <v>6</v>
      </c>
      <c r="H519" s="134">
        <v>1000</v>
      </c>
      <c r="I519" s="139">
        <v>1</v>
      </c>
      <c r="J519" s="84" t="s">
        <v>77</v>
      </c>
      <c r="K519" s="86">
        <v>1</v>
      </c>
      <c r="L519" s="82">
        <v>0</v>
      </c>
      <c r="M519" s="82">
        <f t="shared" si="103"/>
        <v>300</v>
      </c>
      <c r="N519" s="82">
        <f t="shared" si="105"/>
        <v>315</v>
      </c>
      <c r="O519" s="82">
        <f t="shared" si="106"/>
        <v>14490</v>
      </c>
      <c r="P519" s="82">
        <v>1</v>
      </c>
      <c r="Q519" s="82">
        <v>1</v>
      </c>
      <c r="R519" s="82">
        <f t="shared" si="107"/>
        <v>495000</v>
      </c>
      <c r="S519" s="82">
        <f t="shared" si="104"/>
        <v>495000</v>
      </c>
      <c r="T519" s="82">
        <f t="shared" si="108"/>
        <v>0</v>
      </c>
      <c r="U519" s="82">
        <f t="shared" si="109"/>
        <v>495000</v>
      </c>
      <c r="V519" s="42"/>
    </row>
    <row r="520" spans="1:21" s="47" customFormat="1" ht="20.25" customHeight="1">
      <c r="A520" s="118">
        <v>30</v>
      </c>
      <c r="B520" s="80" t="s">
        <v>46</v>
      </c>
      <c r="C520" s="332" t="s">
        <v>850</v>
      </c>
      <c r="D520" s="261" t="s">
        <v>701</v>
      </c>
      <c r="E520" s="80" t="s">
        <v>374</v>
      </c>
      <c r="F520" s="80" t="s">
        <v>1138</v>
      </c>
      <c r="G520" s="66">
        <v>15</v>
      </c>
      <c r="H520" s="134">
        <v>800</v>
      </c>
      <c r="I520" s="82">
        <v>2</v>
      </c>
      <c r="J520" s="84" t="s">
        <v>993</v>
      </c>
      <c r="K520" s="86">
        <v>0</v>
      </c>
      <c r="L520" s="82">
        <v>1</v>
      </c>
      <c r="M520" s="82">
        <f t="shared" si="103"/>
        <v>600</v>
      </c>
      <c r="N520" s="82">
        <f t="shared" si="105"/>
        <v>630</v>
      </c>
      <c r="O520" s="82">
        <f t="shared" si="106"/>
        <v>28980</v>
      </c>
      <c r="P520" s="82">
        <v>1</v>
      </c>
      <c r="Q520" s="82">
        <v>1</v>
      </c>
      <c r="R520" s="82">
        <f t="shared" si="107"/>
        <v>495000</v>
      </c>
      <c r="S520" s="82">
        <f t="shared" si="104"/>
        <v>0</v>
      </c>
      <c r="T520" s="82">
        <f t="shared" si="108"/>
        <v>495000</v>
      </c>
      <c r="U520" s="82">
        <f t="shared" si="109"/>
        <v>495000</v>
      </c>
    </row>
    <row r="521" spans="1:21" s="47" customFormat="1" ht="20.25" customHeight="1">
      <c r="A521" s="118">
        <v>31</v>
      </c>
      <c r="B521" s="80" t="s">
        <v>46</v>
      </c>
      <c r="C521" s="332" t="s">
        <v>702</v>
      </c>
      <c r="D521" s="261" t="s">
        <v>701</v>
      </c>
      <c r="E521" s="80" t="s">
        <v>374</v>
      </c>
      <c r="F521" s="80" t="s">
        <v>1138</v>
      </c>
      <c r="G521" s="66">
        <v>15</v>
      </c>
      <c r="H521" s="134">
        <v>800</v>
      </c>
      <c r="I521" s="82">
        <v>4</v>
      </c>
      <c r="J521" s="84" t="s">
        <v>993</v>
      </c>
      <c r="K521" s="86">
        <v>0</v>
      </c>
      <c r="L521" s="82">
        <v>1</v>
      </c>
      <c r="M521" s="82">
        <f t="shared" si="103"/>
        <v>600</v>
      </c>
      <c r="N521" s="82">
        <f t="shared" si="105"/>
        <v>630</v>
      </c>
      <c r="O521" s="82">
        <f t="shared" si="106"/>
        <v>28980</v>
      </c>
      <c r="P521" s="82">
        <v>1</v>
      </c>
      <c r="Q521" s="82">
        <v>1</v>
      </c>
      <c r="R521" s="82">
        <f t="shared" si="107"/>
        <v>495000</v>
      </c>
      <c r="S521" s="82">
        <f t="shared" si="104"/>
        <v>0</v>
      </c>
      <c r="T521" s="82">
        <f t="shared" si="108"/>
        <v>495000</v>
      </c>
      <c r="U521" s="82">
        <f t="shared" si="109"/>
        <v>495000</v>
      </c>
    </row>
    <row r="522" spans="1:21" s="47" customFormat="1" ht="20.25" customHeight="1">
      <c r="A522" s="118">
        <v>32</v>
      </c>
      <c r="B522" s="80" t="s">
        <v>46</v>
      </c>
      <c r="C522" s="332" t="s">
        <v>851</v>
      </c>
      <c r="D522" s="261" t="s">
        <v>706</v>
      </c>
      <c r="E522" s="80" t="s">
        <v>396</v>
      </c>
      <c r="F522" s="80" t="s">
        <v>1138</v>
      </c>
      <c r="G522" s="66">
        <v>11</v>
      </c>
      <c r="H522" s="82">
        <v>900</v>
      </c>
      <c r="I522" s="82">
        <v>2</v>
      </c>
      <c r="J522" s="84" t="s">
        <v>993</v>
      </c>
      <c r="K522" s="86">
        <v>0</v>
      </c>
      <c r="L522" s="82">
        <v>1</v>
      </c>
      <c r="M522" s="82">
        <f t="shared" si="103"/>
        <v>495</v>
      </c>
      <c r="N522" s="82">
        <f t="shared" si="105"/>
        <v>519.75</v>
      </c>
      <c r="O522" s="82">
        <f t="shared" si="106"/>
        <v>23908.5</v>
      </c>
      <c r="P522" s="82">
        <v>1</v>
      </c>
      <c r="Q522" s="82">
        <v>1</v>
      </c>
      <c r="R522" s="82">
        <f t="shared" si="107"/>
        <v>495000</v>
      </c>
      <c r="S522" s="82">
        <f t="shared" si="104"/>
        <v>0</v>
      </c>
      <c r="T522" s="82">
        <f t="shared" si="108"/>
        <v>495000</v>
      </c>
      <c r="U522" s="82">
        <f t="shared" si="109"/>
        <v>495000</v>
      </c>
    </row>
    <row r="523" spans="1:21" s="47" customFormat="1" ht="20.25" customHeight="1">
      <c r="A523" s="118">
        <v>33</v>
      </c>
      <c r="B523" s="80" t="s">
        <v>46</v>
      </c>
      <c r="C523" s="332" t="s">
        <v>852</v>
      </c>
      <c r="D523" s="261" t="s">
        <v>706</v>
      </c>
      <c r="E523" s="80" t="s">
        <v>396</v>
      </c>
      <c r="F523" s="80" t="s">
        <v>1138</v>
      </c>
      <c r="G523" s="66">
        <v>11</v>
      </c>
      <c r="H523" s="82">
        <v>900</v>
      </c>
      <c r="I523" s="82">
        <v>2</v>
      </c>
      <c r="J523" s="84" t="s">
        <v>993</v>
      </c>
      <c r="K523" s="86">
        <v>0</v>
      </c>
      <c r="L523" s="82">
        <v>1</v>
      </c>
      <c r="M523" s="82">
        <f aca="true" t="shared" si="110" ref="M523:M554">H523*G523*5/100</f>
        <v>495</v>
      </c>
      <c r="N523" s="82">
        <f t="shared" si="105"/>
        <v>519.75</v>
      </c>
      <c r="O523" s="82">
        <f t="shared" si="106"/>
        <v>23908.5</v>
      </c>
      <c r="P523" s="82">
        <v>1</v>
      </c>
      <c r="Q523" s="82">
        <v>1</v>
      </c>
      <c r="R523" s="82">
        <f t="shared" si="107"/>
        <v>495000</v>
      </c>
      <c r="S523" s="82">
        <f t="shared" si="104"/>
        <v>0</v>
      </c>
      <c r="T523" s="82">
        <f t="shared" si="108"/>
        <v>495000</v>
      </c>
      <c r="U523" s="82">
        <f t="shared" si="109"/>
        <v>495000</v>
      </c>
    </row>
    <row r="524" spans="1:21" s="47" customFormat="1" ht="20.25" customHeight="1">
      <c r="A524" s="118">
        <v>34</v>
      </c>
      <c r="B524" s="80" t="s">
        <v>46</v>
      </c>
      <c r="C524" s="332" t="s">
        <v>703</v>
      </c>
      <c r="D524" s="261" t="s">
        <v>704</v>
      </c>
      <c r="E524" s="80" t="s">
        <v>374</v>
      </c>
      <c r="F524" s="80" t="s">
        <v>1138</v>
      </c>
      <c r="G524" s="66">
        <v>12</v>
      </c>
      <c r="H524" s="82">
        <v>700</v>
      </c>
      <c r="I524" s="82">
        <v>2</v>
      </c>
      <c r="J524" s="84" t="s">
        <v>991</v>
      </c>
      <c r="K524" s="86">
        <v>0</v>
      </c>
      <c r="L524" s="82">
        <v>1</v>
      </c>
      <c r="M524" s="82">
        <f t="shared" si="110"/>
        <v>420</v>
      </c>
      <c r="N524" s="82">
        <f t="shared" si="105"/>
        <v>441</v>
      </c>
      <c r="O524" s="82">
        <f t="shared" si="106"/>
        <v>20286</v>
      </c>
      <c r="P524" s="82">
        <v>1</v>
      </c>
      <c r="Q524" s="82">
        <v>1</v>
      </c>
      <c r="R524" s="82">
        <f t="shared" si="107"/>
        <v>495000</v>
      </c>
      <c r="S524" s="82">
        <f t="shared" si="104"/>
        <v>0</v>
      </c>
      <c r="T524" s="82">
        <f>L524*P524*Q524*R524</f>
        <v>495000</v>
      </c>
      <c r="U524" s="82">
        <f t="shared" si="109"/>
        <v>495000</v>
      </c>
    </row>
    <row r="525" spans="1:21" s="47" customFormat="1" ht="20.25" customHeight="1">
      <c r="A525" s="118">
        <v>35</v>
      </c>
      <c r="B525" s="80" t="s">
        <v>46</v>
      </c>
      <c r="C525" s="332" t="s">
        <v>705</v>
      </c>
      <c r="D525" s="261" t="s">
        <v>704</v>
      </c>
      <c r="E525" s="80" t="s">
        <v>374</v>
      </c>
      <c r="F525" s="80" t="s">
        <v>1138</v>
      </c>
      <c r="G525" s="66">
        <v>12</v>
      </c>
      <c r="H525" s="82">
        <v>700</v>
      </c>
      <c r="I525" s="82">
        <v>2</v>
      </c>
      <c r="J525" s="84" t="s">
        <v>991</v>
      </c>
      <c r="K525" s="86">
        <v>0</v>
      </c>
      <c r="L525" s="82">
        <v>1</v>
      </c>
      <c r="M525" s="82">
        <f t="shared" si="110"/>
        <v>420</v>
      </c>
      <c r="N525" s="82">
        <f t="shared" si="105"/>
        <v>441</v>
      </c>
      <c r="O525" s="82">
        <f t="shared" si="106"/>
        <v>20286</v>
      </c>
      <c r="P525" s="82">
        <v>1</v>
      </c>
      <c r="Q525" s="82">
        <v>1</v>
      </c>
      <c r="R525" s="82">
        <f t="shared" si="107"/>
        <v>495000</v>
      </c>
      <c r="S525" s="82">
        <f t="shared" si="104"/>
        <v>0</v>
      </c>
      <c r="T525" s="82">
        <f t="shared" si="108"/>
        <v>495000</v>
      </c>
      <c r="U525" s="82">
        <f t="shared" si="109"/>
        <v>495000</v>
      </c>
    </row>
    <row r="526" spans="1:21" s="47" customFormat="1" ht="20.25" customHeight="1">
      <c r="A526" s="118">
        <v>36</v>
      </c>
      <c r="B526" s="80" t="s">
        <v>46</v>
      </c>
      <c r="C526" s="332" t="s">
        <v>853</v>
      </c>
      <c r="D526" s="261" t="s">
        <v>706</v>
      </c>
      <c r="E526" s="80" t="s">
        <v>396</v>
      </c>
      <c r="F526" s="80" t="s">
        <v>1138</v>
      </c>
      <c r="G526" s="66">
        <v>10</v>
      </c>
      <c r="H526" s="82">
        <v>1000</v>
      </c>
      <c r="I526" s="82">
        <v>2</v>
      </c>
      <c r="J526" s="84" t="s">
        <v>993</v>
      </c>
      <c r="K526" s="86">
        <v>0</v>
      </c>
      <c r="L526" s="82">
        <v>1</v>
      </c>
      <c r="M526" s="82">
        <f t="shared" si="110"/>
        <v>500</v>
      </c>
      <c r="N526" s="82">
        <f t="shared" si="105"/>
        <v>525</v>
      </c>
      <c r="O526" s="82">
        <f t="shared" si="106"/>
        <v>24150</v>
      </c>
      <c r="P526" s="82">
        <v>1</v>
      </c>
      <c r="Q526" s="82">
        <v>1</v>
      </c>
      <c r="R526" s="82">
        <f t="shared" si="107"/>
        <v>495000</v>
      </c>
      <c r="S526" s="82">
        <f t="shared" si="104"/>
        <v>0</v>
      </c>
      <c r="T526" s="82">
        <f t="shared" si="108"/>
        <v>495000</v>
      </c>
      <c r="U526" s="82">
        <f t="shared" si="109"/>
        <v>495000</v>
      </c>
    </row>
    <row r="527" spans="1:21" s="47" customFormat="1" ht="20.25" customHeight="1">
      <c r="A527" s="118">
        <v>37</v>
      </c>
      <c r="B527" s="80" t="s">
        <v>46</v>
      </c>
      <c r="C527" s="332" t="s">
        <v>854</v>
      </c>
      <c r="D527" s="261" t="s">
        <v>706</v>
      </c>
      <c r="E527" s="80" t="s">
        <v>396</v>
      </c>
      <c r="F527" s="80" t="s">
        <v>1138</v>
      </c>
      <c r="G527" s="66">
        <v>10</v>
      </c>
      <c r="H527" s="82">
        <v>1000</v>
      </c>
      <c r="I527" s="82">
        <v>2</v>
      </c>
      <c r="J527" s="84" t="s">
        <v>993</v>
      </c>
      <c r="K527" s="86">
        <v>0</v>
      </c>
      <c r="L527" s="82">
        <v>1</v>
      </c>
      <c r="M527" s="82">
        <f t="shared" si="110"/>
        <v>500</v>
      </c>
      <c r="N527" s="82">
        <f t="shared" si="105"/>
        <v>525</v>
      </c>
      <c r="O527" s="82">
        <f t="shared" si="106"/>
        <v>24150</v>
      </c>
      <c r="P527" s="82">
        <v>1</v>
      </c>
      <c r="Q527" s="82">
        <v>1</v>
      </c>
      <c r="R527" s="82">
        <f t="shared" si="107"/>
        <v>495000</v>
      </c>
      <c r="S527" s="82">
        <f t="shared" si="104"/>
        <v>0</v>
      </c>
      <c r="T527" s="82">
        <f t="shared" si="108"/>
        <v>495000</v>
      </c>
      <c r="U527" s="82">
        <f t="shared" si="109"/>
        <v>495000</v>
      </c>
    </row>
    <row r="528" spans="1:21" s="47" customFormat="1" ht="20.25" customHeight="1">
      <c r="A528" s="118">
        <v>38</v>
      </c>
      <c r="B528" s="80" t="s">
        <v>46</v>
      </c>
      <c r="C528" s="332" t="s">
        <v>855</v>
      </c>
      <c r="D528" s="261" t="s">
        <v>706</v>
      </c>
      <c r="E528" s="80" t="s">
        <v>396</v>
      </c>
      <c r="F528" s="80" t="s">
        <v>1138</v>
      </c>
      <c r="G528" s="66">
        <v>10</v>
      </c>
      <c r="H528" s="82">
        <v>1000</v>
      </c>
      <c r="I528" s="82">
        <v>2</v>
      </c>
      <c r="J528" s="84" t="s">
        <v>993</v>
      </c>
      <c r="K528" s="86">
        <v>0</v>
      </c>
      <c r="L528" s="82">
        <v>1</v>
      </c>
      <c r="M528" s="82">
        <f t="shared" si="110"/>
        <v>500</v>
      </c>
      <c r="N528" s="82">
        <f t="shared" si="105"/>
        <v>525</v>
      </c>
      <c r="O528" s="82">
        <f t="shared" si="106"/>
        <v>24150</v>
      </c>
      <c r="P528" s="82">
        <v>1</v>
      </c>
      <c r="Q528" s="82">
        <v>1</v>
      </c>
      <c r="R528" s="82">
        <f t="shared" si="107"/>
        <v>495000</v>
      </c>
      <c r="S528" s="82">
        <f t="shared" si="104"/>
        <v>0</v>
      </c>
      <c r="T528" s="82">
        <f t="shared" si="108"/>
        <v>495000</v>
      </c>
      <c r="U528" s="82">
        <f t="shared" si="109"/>
        <v>495000</v>
      </c>
    </row>
    <row r="529" spans="1:21" s="47" customFormat="1" ht="20.25" customHeight="1">
      <c r="A529" s="118">
        <v>39</v>
      </c>
      <c r="B529" s="80" t="s">
        <v>46</v>
      </c>
      <c r="C529" s="332" t="s">
        <v>856</v>
      </c>
      <c r="D529" s="261" t="s">
        <v>706</v>
      </c>
      <c r="E529" s="80" t="s">
        <v>396</v>
      </c>
      <c r="F529" s="80" t="s">
        <v>1138</v>
      </c>
      <c r="G529" s="66">
        <v>15</v>
      </c>
      <c r="H529" s="82">
        <v>1200</v>
      </c>
      <c r="I529" s="82">
        <v>2</v>
      </c>
      <c r="J529" s="84" t="s">
        <v>993</v>
      </c>
      <c r="K529" s="86">
        <v>0</v>
      </c>
      <c r="L529" s="82">
        <v>1</v>
      </c>
      <c r="M529" s="82">
        <f t="shared" si="110"/>
        <v>900</v>
      </c>
      <c r="N529" s="82">
        <f t="shared" si="105"/>
        <v>945</v>
      </c>
      <c r="O529" s="82">
        <f t="shared" si="106"/>
        <v>43470</v>
      </c>
      <c r="P529" s="82">
        <v>1</v>
      </c>
      <c r="Q529" s="82">
        <v>1</v>
      </c>
      <c r="R529" s="82">
        <f t="shared" si="107"/>
        <v>495000</v>
      </c>
      <c r="S529" s="82">
        <f t="shared" si="104"/>
        <v>0</v>
      </c>
      <c r="T529" s="82">
        <f t="shared" si="108"/>
        <v>495000</v>
      </c>
      <c r="U529" s="82">
        <f t="shared" si="109"/>
        <v>495000</v>
      </c>
    </row>
    <row r="530" spans="1:21" s="47" customFormat="1" ht="20.25" customHeight="1">
      <c r="A530" s="118">
        <v>40</v>
      </c>
      <c r="B530" s="80" t="s">
        <v>46</v>
      </c>
      <c r="C530" s="332" t="s">
        <v>857</v>
      </c>
      <c r="D530" s="261" t="s">
        <v>706</v>
      </c>
      <c r="E530" s="80" t="s">
        <v>396</v>
      </c>
      <c r="F530" s="80" t="s">
        <v>1138</v>
      </c>
      <c r="G530" s="66">
        <v>15</v>
      </c>
      <c r="H530" s="82">
        <v>1200</v>
      </c>
      <c r="I530" s="82">
        <v>2</v>
      </c>
      <c r="J530" s="84" t="s">
        <v>993</v>
      </c>
      <c r="K530" s="86">
        <v>0</v>
      </c>
      <c r="L530" s="82">
        <v>1</v>
      </c>
      <c r="M530" s="82">
        <f t="shared" si="110"/>
        <v>900</v>
      </c>
      <c r="N530" s="82">
        <f t="shared" si="105"/>
        <v>945</v>
      </c>
      <c r="O530" s="82">
        <f t="shared" si="106"/>
        <v>43470</v>
      </c>
      <c r="P530" s="82">
        <v>1</v>
      </c>
      <c r="Q530" s="82">
        <v>1</v>
      </c>
      <c r="R530" s="82">
        <f t="shared" si="107"/>
        <v>495000</v>
      </c>
      <c r="S530" s="82">
        <f t="shared" si="104"/>
        <v>0</v>
      </c>
      <c r="T530" s="82">
        <f t="shared" si="108"/>
        <v>495000</v>
      </c>
      <c r="U530" s="82">
        <f t="shared" si="109"/>
        <v>495000</v>
      </c>
    </row>
    <row r="531" spans="1:21" s="47" customFormat="1" ht="20.25" customHeight="1">
      <c r="A531" s="118">
        <v>41</v>
      </c>
      <c r="B531" s="80" t="s">
        <v>46</v>
      </c>
      <c r="C531" s="332" t="s">
        <v>858</v>
      </c>
      <c r="D531" s="261" t="s">
        <v>706</v>
      </c>
      <c r="E531" s="80" t="s">
        <v>396</v>
      </c>
      <c r="F531" s="80" t="s">
        <v>1138</v>
      </c>
      <c r="G531" s="66">
        <v>15</v>
      </c>
      <c r="H531" s="82">
        <v>1200</v>
      </c>
      <c r="I531" s="82">
        <v>2</v>
      </c>
      <c r="J531" s="84" t="s">
        <v>993</v>
      </c>
      <c r="K531" s="86">
        <v>0</v>
      </c>
      <c r="L531" s="82">
        <v>1</v>
      </c>
      <c r="M531" s="82">
        <f t="shared" si="110"/>
        <v>900</v>
      </c>
      <c r="N531" s="82">
        <f t="shared" si="105"/>
        <v>945</v>
      </c>
      <c r="O531" s="82">
        <f t="shared" si="106"/>
        <v>43470</v>
      </c>
      <c r="P531" s="82">
        <v>1</v>
      </c>
      <c r="Q531" s="82">
        <v>1</v>
      </c>
      <c r="R531" s="82">
        <f t="shared" si="107"/>
        <v>495000</v>
      </c>
      <c r="S531" s="82">
        <f t="shared" si="104"/>
        <v>0</v>
      </c>
      <c r="T531" s="82">
        <f t="shared" si="108"/>
        <v>495000</v>
      </c>
      <c r="U531" s="82">
        <f t="shared" si="109"/>
        <v>495000</v>
      </c>
    </row>
    <row r="532" spans="1:21" s="47" customFormat="1" ht="20.25" customHeight="1">
      <c r="A532" s="118">
        <v>42</v>
      </c>
      <c r="B532" s="80" t="s">
        <v>46</v>
      </c>
      <c r="C532" s="332" t="s">
        <v>859</v>
      </c>
      <c r="D532" s="261" t="s">
        <v>706</v>
      </c>
      <c r="E532" s="80" t="s">
        <v>396</v>
      </c>
      <c r="F532" s="80" t="s">
        <v>1138</v>
      </c>
      <c r="G532" s="66">
        <v>9</v>
      </c>
      <c r="H532" s="82">
        <v>1000</v>
      </c>
      <c r="I532" s="82">
        <v>2</v>
      </c>
      <c r="J532" s="84" t="s">
        <v>993</v>
      </c>
      <c r="K532" s="86">
        <v>0</v>
      </c>
      <c r="L532" s="82">
        <v>1</v>
      </c>
      <c r="M532" s="82">
        <f t="shared" si="110"/>
        <v>450</v>
      </c>
      <c r="N532" s="82">
        <f t="shared" si="105"/>
        <v>472.5</v>
      </c>
      <c r="O532" s="82">
        <f t="shared" si="106"/>
        <v>21735</v>
      </c>
      <c r="P532" s="82">
        <v>1</v>
      </c>
      <c r="Q532" s="82">
        <v>1</v>
      </c>
      <c r="R532" s="82">
        <f t="shared" si="107"/>
        <v>495000</v>
      </c>
      <c r="S532" s="82">
        <f t="shared" si="104"/>
        <v>0</v>
      </c>
      <c r="T532" s="82">
        <f t="shared" si="108"/>
        <v>495000</v>
      </c>
      <c r="U532" s="82">
        <f t="shared" si="109"/>
        <v>495000</v>
      </c>
    </row>
    <row r="533" spans="1:21" s="47" customFormat="1" ht="20.25" customHeight="1">
      <c r="A533" s="118">
        <v>43</v>
      </c>
      <c r="B533" s="80" t="s">
        <v>46</v>
      </c>
      <c r="C533" s="332" t="s">
        <v>860</v>
      </c>
      <c r="D533" s="261" t="s">
        <v>706</v>
      </c>
      <c r="E533" s="80" t="s">
        <v>396</v>
      </c>
      <c r="F533" s="80" t="s">
        <v>1138</v>
      </c>
      <c r="G533" s="66">
        <v>15</v>
      </c>
      <c r="H533" s="82">
        <v>1200</v>
      </c>
      <c r="I533" s="82">
        <v>2</v>
      </c>
      <c r="J533" s="84" t="s">
        <v>993</v>
      </c>
      <c r="K533" s="86">
        <v>0</v>
      </c>
      <c r="L533" s="82">
        <v>1</v>
      </c>
      <c r="M533" s="82">
        <f t="shared" si="110"/>
        <v>900</v>
      </c>
      <c r="N533" s="82">
        <f t="shared" si="105"/>
        <v>945</v>
      </c>
      <c r="O533" s="82">
        <f t="shared" si="106"/>
        <v>43470</v>
      </c>
      <c r="P533" s="82">
        <v>1</v>
      </c>
      <c r="Q533" s="82">
        <v>1</v>
      </c>
      <c r="R533" s="82">
        <f t="shared" si="107"/>
        <v>495000</v>
      </c>
      <c r="S533" s="82">
        <f t="shared" si="104"/>
        <v>0</v>
      </c>
      <c r="T533" s="82">
        <f t="shared" si="108"/>
        <v>495000</v>
      </c>
      <c r="U533" s="82">
        <f t="shared" si="109"/>
        <v>495000</v>
      </c>
    </row>
    <row r="534" spans="1:21" s="42" customFormat="1" ht="20.25" customHeight="1">
      <c r="A534" s="118">
        <v>44</v>
      </c>
      <c r="B534" s="80" t="s">
        <v>46</v>
      </c>
      <c r="C534" s="332" t="s">
        <v>861</v>
      </c>
      <c r="D534" s="261" t="s">
        <v>706</v>
      </c>
      <c r="E534" s="80" t="s">
        <v>396</v>
      </c>
      <c r="F534" s="80" t="s">
        <v>1138</v>
      </c>
      <c r="G534" s="66">
        <v>19</v>
      </c>
      <c r="H534" s="82">
        <v>1500</v>
      </c>
      <c r="I534" s="82">
        <v>2</v>
      </c>
      <c r="J534" s="84" t="s">
        <v>993</v>
      </c>
      <c r="K534" s="86">
        <v>0</v>
      </c>
      <c r="L534" s="82">
        <v>1</v>
      </c>
      <c r="M534" s="82">
        <f t="shared" si="110"/>
        <v>1425</v>
      </c>
      <c r="N534" s="82">
        <f t="shared" si="105"/>
        <v>1496.25</v>
      </c>
      <c r="O534" s="82">
        <f t="shared" si="106"/>
        <v>68827.5</v>
      </c>
      <c r="P534" s="82">
        <v>1</v>
      </c>
      <c r="Q534" s="82">
        <v>1</v>
      </c>
      <c r="R534" s="82">
        <f t="shared" si="107"/>
        <v>495000</v>
      </c>
      <c r="S534" s="82">
        <f t="shared" si="104"/>
        <v>0</v>
      </c>
      <c r="T534" s="82">
        <f t="shared" si="108"/>
        <v>495000</v>
      </c>
      <c r="U534" s="82">
        <f t="shared" si="109"/>
        <v>495000</v>
      </c>
    </row>
    <row r="535" spans="1:21" s="42" customFormat="1" ht="20.25" customHeight="1">
      <c r="A535" s="118">
        <v>45</v>
      </c>
      <c r="B535" s="80" t="s">
        <v>46</v>
      </c>
      <c r="C535" s="332" t="s">
        <v>862</v>
      </c>
      <c r="D535" s="261" t="s">
        <v>706</v>
      </c>
      <c r="E535" s="80" t="s">
        <v>396</v>
      </c>
      <c r="F535" s="80" t="s">
        <v>1138</v>
      </c>
      <c r="G535" s="66">
        <v>15</v>
      </c>
      <c r="H535" s="82">
        <v>1200</v>
      </c>
      <c r="I535" s="82">
        <v>2</v>
      </c>
      <c r="J535" s="84" t="s">
        <v>993</v>
      </c>
      <c r="K535" s="86">
        <v>0</v>
      </c>
      <c r="L535" s="82">
        <v>1</v>
      </c>
      <c r="M535" s="82">
        <f t="shared" si="110"/>
        <v>900</v>
      </c>
      <c r="N535" s="82">
        <f t="shared" si="105"/>
        <v>945</v>
      </c>
      <c r="O535" s="82">
        <f t="shared" si="106"/>
        <v>43470</v>
      </c>
      <c r="P535" s="82">
        <v>1</v>
      </c>
      <c r="Q535" s="82">
        <v>1</v>
      </c>
      <c r="R535" s="82">
        <f t="shared" si="107"/>
        <v>495000</v>
      </c>
      <c r="S535" s="82">
        <f t="shared" si="104"/>
        <v>0</v>
      </c>
      <c r="T535" s="82">
        <f t="shared" si="108"/>
        <v>495000</v>
      </c>
      <c r="U535" s="82">
        <f t="shared" si="109"/>
        <v>495000</v>
      </c>
    </row>
    <row r="536" spans="1:21" s="42" customFormat="1" ht="20.25" customHeight="1">
      <c r="A536" s="118">
        <v>46</v>
      </c>
      <c r="B536" s="80" t="s">
        <v>46</v>
      </c>
      <c r="C536" s="332" t="s">
        <v>863</v>
      </c>
      <c r="D536" s="261" t="s">
        <v>706</v>
      </c>
      <c r="E536" s="80" t="s">
        <v>396</v>
      </c>
      <c r="F536" s="80" t="s">
        <v>1138</v>
      </c>
      <c r="G536" s="66">
        <v>11</v>
      </c>
      <c r="H536" s="82">
        <v>1000</v>
      </c>
      <c r="I536" s="82">
        <v>2</v>
      </c>
      <c r="J536" s="84" t="s">
        <v>993</v>
      </c>
      <c r="K536" s="86">
        <v>0</v>
      </c>
      <c r="L536" s="82">
        <v>1</v>
      </c>
      <c r="M536" s="82">
        <f t="shared" si="110"/>
        <v>550</v>
      </c>
      <c r="N536" s="82">
        <f t="shared" si="105"/>
        <v>577.5</v>
      </c>
      <c r="O536" s="82">
        <f t="shared" si="106"/>
        <v>26565</v>
      </c>
      <c r="P536" s="82">
        <v>1</v>
      </c>
      <c r="Q536" s="82">
        <v>1</v>
      </c>
      <c r="R536" s="82">
        <f t="shared" si="107"/>
        <v>495000</v>
      </c>
      <c r="S536" s="82">
        <f t="shared" si="104"/>
        <v>0</v>
      </c>
      <c r="T536" s="82">
        <f t="shared" si="108"/>
        <v>495000</v>
      </c>
      <c r="U536" s="82">
        <f t="shared" si="109"/>
        <v>495000</v>
      </c>
    </row>
    <row r="537" spans="1:21" s="42" customFormat="1" ht="20.25" customHeight="1">
      <c r="A537" s="118">
        <v>47</v>
      </c>
      <c r="B537" s="80" t="s">
        <v>46</v>
      </c>
      <c r="C537" s="332" t="s">
        <v>864</v>
      </c>
      <c r="D537" s="261" t="s">
        <v>706</v>
      </c>
      <c r="E537" s="80" t="s">
        <v>396</v>
      </c>
      <c r="F537" s="80" t="s">
        <v>1138</v>
      </c>
      <c r="G537" s="66">
        <v>19</v>
      </c>
      <c r="H537" s="82">
        <v>1500</v>
      </c>
      <c r="I537" s="82">
        <v>3</v>
      </c>
      <c r="J537" s="84" t="s">
        <v>991</v>
      </c>
      <c r="K537" s="86">
        <v>0</v>
      </c>
      <c r="L537" s="82">
        <v>1</v>
      </c>
      <c r="M537" s="82">
        <f t="shared" si="110"/>
        <v>1425</v>
      </c>
      <c r="N537" s="82">
        <f t="shared" si="105"/>
        <v>1496.25</v>
      </c>
      <c r="O537" s="82">
        <f t="shared" si="106"/>
        <v>68827.5</v>
      </c>
      <c r="P537" s="82">
        <v>1</v>
      </c>
      <c r="Q537" s="82">
        <v>1</v>
      </c>
      <c r="R537" s="82">
        <f t="shared" si="107"/>
        <v>495000</v>
      </c>
      <c r="S537" s="82">
        <f t="shared" si="104"/>
        <v>0</v>
      </c>
      <c r="T537" s="82">
        <f t="shared" si="108"/>
        <v>495000</v>
      </c>
      <c r="U537" s="82">
        <f t="shared" si="109"/>
        <v>495000</v>
      </c>
    </row>
    <row r="538" spans="1:21" s="42" customFormat="1" ht="20.25" customHeight="1">
      <c r="A538" s="118">
        <v>48</v>
      </c>
      <c r="B538" s="80" t="s">
        <v>46</v>
      </c>
      <c r="C538" s="332" t="s">
        <v>865</v>
      </c>
      <c r="D538" s="261" t="s">
        <v>706</v>
      </c>
      <c r="E538" s="80" t="s">
        <v>396</v>
      </c>
      <c r="F538" s="80" t="s">
        <v>1138</v>
      </c>
      <c r="G538" s="66">
        <v>19</v>
      </c>
      <c r="H538" s="82">
        <v>1500</v>
      </c>
      <c r="I538" s="82">
        <v>3</v>
      </c>
      <c r="J538" s="84" t="s">
        <v>991</v>
      </c>
      <c r="K538" s="86">
        <v>0</v>
      </c>
      <c r="L538" s="82">
        <v>1</v>
      </c>
      <c r="M538" s="82">
        <f t="shared" si="110"/>
        <v>1425</v>
      </c>
      <c r="N538" s="82">
        <f t="shared" si="105"/>
        <v>1496.25</v>
      </c>
      <c r="O538" s="82">
        <f t="shared" si="106"/>
        <v>68827.5</v>
      </c>
      <c r="P538" s="82">
        <v>1</v>
      </c>
      <c r="Q538" s="82">
        <v>1</v>
      </c>
      <c r="R538" s="82">
        <f t="shared" si="107"/>
        <v>495000</v>
      </c>
      <c r="S538" s="82">
        <f t="shared" si="104"/>
        <v>0</v>
      </c>
      <c r="T538" s="82">
        <f t="shared" si="108"/>
        <v>495000</v>
      </c>
      <c r="U538" s="82">
        <f t="shared" si="109"/>
        <v>495000</v>
      </c>
    </row>
    <row r="539" spans="1:21" s="42" customFormat="1" ht="20.25" customHeight="1">
      <c r="A539" s="118">
        <v>49</v>
      </c>
      <c r="B539" s="80" t="s">
        <v>46</v>
      </c>
      <c r="C539" s="332" t="s">
        <v>866</v>
      </c>
      <c r="D539" s="261" t="s">
        <v>706</v>
      </c>
      <c r="E539" s="80" t="s">
        <v>396</v>
      </c>
      <c r="F539" s="80" t="s">
        <v>1138</v>
      </c>
      <c r="G539" s="66">
        <v>9</v>
      </c>
      <c r="H539" s="82">
        <v>1000</v>
      </c>
      <c r="I539" s="82">
        <v>2</v>
      </c>
      <c r="J539" s="84" t="s">
        <v>993</v>
      </c>
      <c r="K539" s="86">
        <v>0</v>
      </c>
      <c r="L539" s="82">
        <v>1</v>
      </c>
      <c r="M539" s="82">
        <f t="shared" si="110"/>
        <v>450</v>
      </c>
      <c r="N539" s="82">
        <f t="shared" si="105"/>
        <v>472.5</v>
      </c>
      <c r="O539" s="82">
        <f t="shared" si="106"/>
        <v>21735</v>
      </c>
      <c r="P539" s="82">
        <v>1</v>
      </c>
      <c r="Q539" s="82">
        <v>1</v>
      </c>
      <c r="R539" s="82">
        <f t="shared" si="107"/>
        <v>495000</v>
      </c>
      <c r="S539" s="82">
        <f t="shared" si="104"/>
        <v>0</v>
      </c>
      <c r="T539" s="82">
        <f t="shared" si="108"/>
        <v>495000</v>
      </c>
      <c r="U539" s="82">
        <f t="shared" si="109"/>
        <v>495000</v>
      </c>
    </row>
    <row r="540" spans="1:21" s="42" customFormat="1" ht="20.25" customHeight="1">
      <c r="A540" s="118">
        <v>50</v>
      </c>
      <c r="B540" s="80" t="s">
        <v>46</v>
      </c>
      <c r="C540" s="332" t="s">
        <v>707</v>
      </c>
      <c r="D540" s="261" t="s">
        <v>867</v>
      </c>
      <c r="E540" s="80" t="s">
        <v>384</v>
      </c>
      <c r="F540" s="80" t="s">
        <v>1138</v>
      </c>
      <c r="G540" s="66">
        <v>11</v>
      </c>
      <c r="H540" s="82">
        <v>800</v>
      </c>
      <c r="I540" s="82">
        <v>2</v>
      </c>
      <c r="J540" s="84" t="s">
        <v>998</v>
      </c>
      <c r="K540" s="86">
        <v>0</v>
      </c>
      <c r="L540" s="82">
        <v>1</v>
      </c>
      <c r="M540" s="82">
        <f t="shared" si="110"/>
        <v>440</v>
      </c>
      <c r="N540" s="82">
        <f t="shared" si="105"/>
        <v>462</v>
      </c>
      <c r="O540" s="82">
        <f t="shared" si="106"/>
        <v>21252</v>
      </c>
      <c r="P540" s="82">
        <v>1</v>
      </c>
      <c r="Q540" s="82">
        <v>1</v>
      </c>
      <c r="R540" s="82">
        <f t="shared" si="107"/>
        <v>495000</v>
      </c>
      <c r="S540" s="82">
        <f t="shared" si="104"/>
        <v>0</v>
      </c>
      <c r="T540" s="82">
        <f t="shared" si="108"/>
        <v>495000</v>
      </c>
      <c r="U540" s="82">
        <f t="shared" si="109"/>
        <v>495000</v>
      </c>
    </row>
    <row r="541" spans="1:21" s="42" customFormat="1" ht="20.25" customHeight="1">
      <c r="A541" s="118">
        <v>51</v>
      </c>
      <c r="B541" s="80" t="s">
        <v>46</v>
      </c>
      <c r="C541" s="332" t="s">
        <v>723</v>
      </c>
      <c r="D541" s="261" t="s">
        <v>483</v>
      </c>
      <c r="E541" s="80" t="s">
        <v>483</v>
      </c>
      <c r="F541" s="80" t="s">
        <v>1138</v>
      </c>
      <c r="G541" s="66">
        <v>9</v>
      </c>
      <c r="H541" s="83">
        <v>800</v>
      </c>
      <c r="I541" s="82">
        <v>2</v>
      </c>
      <c r="J541" s="84" t="s">
        <v>993</v>
      </c>
      <c r="K541" s="86">
        <v>0</v>
      </c>
      <c r="L541" s="82">
        <v>1</v>
      </c>
      <c r="M541" s="82">
        <f t="shared" si="110"/>
        <v>360</v>
      </c>
      <c r="N541" s="82">
        <f t="shared" si="105"/>
        <v>378</v>
      </c>
      <c r="O541" s="82">
        <f t="shared" si="106"/>
        <v>17388</v>
      </c>
      <c r="P541" s="82">
        <v>1</v>
      </c>
      <c r="Q541" s="82">
        <v>1</v>
      </c>
      <c r="R541" s="82">
        <f>22*$R$2</f>
        <v>495000</v>
      </c>
      <c r="S541" s="82">
        <f t="shared" si="104"/>
        <v>0</v>
      </c>
      <c r="T541" s="82">
        <f t="shared" si="108"/>
        <v>495000</v>
      </c>
      <c r="U541" s="82">
        <f t="shared" si="109"/>
        <v>495000</v>
      </c>
    </row>
    <row r="542" spans="1:21" s="42" customFormat="1" ht="20.25" customHeight="1">
      <c r="A542" s="118">
        <v>52</v>
      </c>
      <c r="B542" s="80" t="s">
        <v>46</v>
      </c>
      <c r="C542" s="332" t="s">
        <v>869</v>
      </c>
      <c r="D542" s="261" t="s">
        <v>724</v>
      </c>
      <c r="E542" s="80" t="s">
        <v>374</v>
      </c>
      <c r="F542" s="80" t="s">
        <v>1138</v>
      </c>
      <c r="G542" s="66">
        <v>17</v>
      </c>
      <c r="H542" s="82">
        <f>4500/3</f>
        <v>1500</v>
      </c>
      <c r="I542" s="82">
        <v>2</v>
      </c>
      <c r="J542" s="84" t="s">
        <v>993</v>
      </c>
      <c r="K542" s="86">
        <v>0</v>
      </c>
      <c r="L542" s="82">
        <v>1</v>
      </c>
      <c r="M542" s="82">
        <f t="shared" si="110"/>
        <v>1275</v>
      </c>
      <c r="N542" s="82">
        <f t="shared" si="105"/>
        <v>1338.75</v>
      </c>
      <c r="O542" s="82">
        <f t="shared" si="106"/>
        <v>61582.5</v>
      </c>
      <c r="P542" s="82">
        <v>1</v>
      </c>
      <c r="Q542" s="82">
        <v>1</v>
      </c>
      <c r="R542" s="82">
        <f>22*$R$2</f>
        <v>495000</v>
      </c>
      <c r="S542" s="82">
        <f t="shared" si="104"/>
        <v>0</v>
      </c>
      <c r="T542" s="82">
        <f t="shared" si="108"/>
        <v>495000</v>
      </c>
      <c r="U542" s="82">
        <f t="shared" si="109"/>
        <v>495000</v>
      </c>
    </row>
    <row r="543" spans="1:21" s="42" customFormat="1" ht="20.25" customHeight="1">
      <c r="A543" s="118">
        <v>53</v>
      </c>
      <c r="B543" s="80" t="s">
        <v>46</v>
      </c>
      <c r="C543" s="332" t="s">
        <v>870</v>
      </c>
      <c r="D543" s="261" t="s">
        <v>724</v>
      </c>
      <c r="E543" s="80" t="s">
        <v>374</v>
      </c>
      <c r="F543" s="80" t="s">
        <v>1138</v>
      </c>
      <c r="G543" s="66">
        <v>17</v>
      </c>
      <c r="H543" s="82">
        <f>4500/3</f>
        <v>1500</v>
      </c>
      <c r="I543" s="82">
        <v>4</v>
      </c>
      <c r="J543" s="84" t="s">
        <v>999</v>
      </c>
      <c r="K543" s="86">
        <v>0</v>
      </c>
      <c r="L543" s="82">
        <v>1</v>
      </c>
      <c r="M543" s="82">
        <f t="shared" si="110"/>
        <v>1275</v>
      </c>
      <c r="N543" s="82">
        <f t="shared" si="105"/>
        <v>1338.75</v>
      </c>
      <c r="O543" s="82">
        <f t="shared" si="106"/>
        <v>61582.5</v>
      </c>
      <c r="P543" s="82">
        <v>1</v>
      </c>
      <c r="Q543" s="82">
        <v>1</v>
      </c>
      <c r="R543" s="82">
        <f>22*$R$2</f>
        <v>495000</v>
      </c>
      <c r="S543" s="82">
        <f t="shared" si="104"/>
        <v>0</v>
      </c>
      <c r="T543" s="82">
        <f t="shared" si="108"/>
        <v>495000</v>
      </c>
      <c r="U543" s="82">
        <f t="shared" si="109"/>
        <v>495000</v>
      </c>
    </row>
    <row r="544" spans="1:22" s="50" customFormat="1" ht="20.25" customHeight="1">
      <c r="A544" s="118">
        <v>55</v>
      </c>
      <c r="B544" s="141" t="s">
        <v>46</v>
      </c>
      <c r="C544" s="351" t="s">
        <v>1070</v>
      </c>
      <c r="D544" s="270" t="s">
        <v>1071</v>
      </c>
      <c r="E544" s="141" t="s">
        <v>1072</v>
      </c>
      <c r="F544" s="80" t="s">
        <v>1138</v>
      </c>
      <c r="G544" s="66">
        <v>6</v>
      </c>
      <c r="H544" s="17">
        <v>700</v>
      </c>
      <c r="I544" s="17">
        <v>2</v>
      </c>
      <c r="J544" s="84" t="s">
        <v>62</v>
      </c>
      <c r="K544" s="85">
        <v>1</v>
      </c>
      <c r="L544" s="17"/>
      <c r="M544" s="82">
        <f t="shared" si="110"/>
        <v>210</v>
      </c>
      <c r="N544" s="82">
        <f t="shared" si="105"/>
        <v>220.5</v>
      </c>
      <c r="O544" s="82">
        <f t="shared" si="106"/>
        <v>10143</v>
      </c>
      <c r="P544" s="17">
        <v>1</v>
      </c>
      <c r="Q544" s="17">
        <v>1</v>
      </c>
      <c r="R544" s="17">
        <f>22*$R$2</f>
        <v>495000</v>
      </c>
      <c r="S544" s="17">
        <f t="shared" si="104"/>
        <v>495000</v>
      </c>
      <c r="T544" s="17">
        <f t="shared" si="108"/>
        <v>0</v>
      </c>
      <c r="U544" s="82">
        <f t="shared" si="109"/>
        <v>495000</v>
      </c>
      <c r="V544" s="42"/>
    </row>
    <row r="545" spans="1:22" s="50" customFormat="1" ht="20.25" customHeight="1">
      <c r="A545" s="118">
        <v>56</v>
      </c>
      <c r="B545" s="141" t="s">
        <v>46</v>
      </c>
      <c r="C545" s="351" t="s">
        <v>1073</v>
      </c>
      <c r="D545" s="270" t="s">
        <v>1071</v>
      </c>
      <c r="E545" s="141" t="s">
        <v>1072</v>
      </c>
      <c r="F545" s="80" t="s">
        <v>1138</v>
      </c>
      <c r="G545" s="66">
        <v>6</v>
      </c>
      <c r="H545" s="17">
        <v>700</v>
      </c>
      <c r="I545" s="17">
        <v>2</v>
      </c>
      <c r="J545" s="84" t="s">
        <v>62</v>
      </c>
      <c r="K545" s="85">
        <v>1</v>
      </c>
      <c r="L545" s="17"/>
      <c r="M545" s="82">
        <f t="shared" si="110"/>
        <v>210</v>
      </c>
      <c r="N545" s="82">
        <f t="shared" si="105"/>
        <v>220.5</v>
      </c>
      <c r="O545" s="82">
        <f t="shared" si="106"/>
        <v>10143</v>
      </c>
      <c r="P545" s="17">
        <v>1</v>
      </c>
      <c r="Q545" s="17">
        <v>1</v>
      </c>
      <c r="R545" s="17">
        <f aca="true" t="shared" si="111" ref="R545:R554">22*$R$2</f>
        <v>495000</v>
      </c>
      <c r="S545" s="17">
        <f t="shared" si="104"/>
        <v>495000</v>
      </c>
      <c r="T545" s="17">
        <f t="shared" si="108"/>
        <v>0</v>
      </c>
      <c r="U545" s="82">
        <f t="shared" si="109"/>
        <v>495000</v>
      </c>
      <c r="V545" s="42"/>
    </row>
    <row r="546" spans="1:22" s="50" customFormat="1" ht="20.25" customHeight="1">
      <c r="A546" s="118">
        <v>57</v>
      </c>
      <c r="B546" s="141" t="s">
        <v>46</v>
      </c>
      <c r="C546" s="351" t="s">
        <v>1074</v>
      </c>
      <c r="D546" s="270" t="s">
        <v>1071</v>
      </c>
      <c r="E546" s="141" t="s">
        <v>1072</v>
      </c>
      <c r="F546" s="80" t="s">
        <v>1138</v>
      </c>
      <c r="G546" s="66">
        <v>6</v>
      </c>
      <c r="H546" s="17">
        <v>700</v>
      </c>
      <c r="I546" s="17">
        <v>2</v>
      </c>
      <c r="J546" s="84" t="s">
        <v>62</v>
      </c>
      <c r="K546" s="85">
        <v>1</v>
      </c>
      <c r="L546" s="17"/>
      <c r="M546" s="82">
        <f t="shared" si="110"/>
        <v>210</v>
      </c>
      <c r="N546" s="82">
        <f t="shared" si="105"/>
        <v>220.5</v>
      </c>
      <c r="O546" s="82">
        <f t="shared" si="106"/>
        <v>10143</v>
      </c>
      <c r="P546" s="17">
        <v>1</v>
      </c>
      <c r="Q546" s="17">
        <v>1</v>
      </c>
      <c r="R546" s="17">
        <f t="shared" si="111"/>
        <v>495000</v>
      </c>
      <c r="S546" s="17">
        <f t="shared" si="104"/>
        <v>495000</v>
      </c>
      <c r="T546" s="17">
        <f t="shared" si="108"/>
        <v>0</v>
      </c>
      <c r="U546" s="82">
        <f t="shared" si="109"/>
        <v>495000</v>
      </c>
      <c r="V546" s="42"/>
    </row>
    <row r="547" spans="1:22" s="50" customFormat="1" ht="20.25" customHeight="1">
      <c r="A547" s="118">
        <v>58</v>
      </c>
      <c r="B547" s="141" t="s">
        <v>46</v>
      </c>
      <c r="C547" s="351" t="s">
        <v>1075</v>
      </c>
      <c r="D547" s="270" t="s">
        <v>1071</v>
      </c>
      <c r="E547" s="141" t="s">
        <v>1072</v>
      </c>
      <c r="F547" s="80" t="s">
        <v>1138</v>
      </c>
      <c r="G547" s="66">
        <v>6</v>
      </c>
      <c r="H547" s="17">
        <v>700</v>
      </c>
      <c r="I547" s="17">
        <v>2</v>
      </c>
      <c r="J547" s="84" t="s">
        <v>62</v>
      </c>
      <c r="K547" s="85">
        <v>1</v>
      </c>
      <c r="L547" s="17"/>
      <c r="M547" s="82">
        <f t="shared" si="110"/>
        <v>210</v>
      </c>
      <c r="N547" s="82">
        <f t="shared" si="105"/>
        <v>220.5</v>
      </c>
      <c r="O547" s="82">
        <f t="shared" si="106"/>
        <v>10143</v>
      </c>
      <c r="P547" s="17">
        <v>1</v>
      </c>
      <c r="Q547" s="17">
        <v>1</v>
      </c>
      <c r="R547" s="17">
        <f t="shared" si="111"/>
        <v>495000</v>
      </c>
      <c r="S547" s="17">
        <f t="shared" si="104"/>
        <v>495000</v>
      </c>
      <c r="T547" s="17">
        <f t="shared" si="108"/>
        <v>0</v>
      </c>
      <c r="U547" s="82">
        <f t="shared" si="109"/>
        <v>495000</v>
      </c>
      <c r="V547" s="42"/>
    </row>
    <row r="548" spans="1:22" s="50" customFormat="1" ht="20.25" customHeight="1">
      <c r="A548" s="118">
        <v>59</v>
      </c>
      <c r="B548" s="141" t="s">
        <v>46</v>
      </c>
      <c r="C548" s="351" t="s">
        <v>1076</v>
      </c>
      <c r="D548" s="270" t="s">
        <v>1071</v>
      </c>
      <c r="E548" s="141" t="s">
        <v>1072</v>
      </c>
      <c r="F548" s="80" t="s">
        <v>1138</v>
      </c>
      <c r="G548" s="66">
        <v>6</v>
      </c>
      <c r="H548" s="17">
        <v>1000</v>
      </c>
      <c r="I548" s="17">
        <v>3</v>
      </c>
      <c r="J548" s="84" t="s">
        <v>62</v>
      </c>
      <c r="K548" s="85">
        <v>1</v>
      </c>
      <c r="L548" s="17"/>
      <c r="M548" s="82">
        <f t="shared" si="110"/>
        <v>300</v>
      </c>
      <c r="N548" s="82">
        <f t="shared" si="105"/>
        <v>315</v>
      </c>
      <c r="O548" s="82">
        <f t="shared" si="106"/>
        <v>14490</v>
      </c>
      <c r="P548" s="17">
        <v>1</v>
      </c>
      <c r="Q548" s="17">
        <v>1</v>
      </c>
      <c r="R548" s="17">
        <f t="shared" si="111"/>
        <v>495000</v>
      </c>
      <c r="S548" s="17">
        <f t="shared" si="104"/>
        <v>495000</v>
      </c>
      <c r="T548" s="17">
        <f t="shared" si="108"/>
        <v>0</v>
      </c>
      <c r="U548" s="82">
        <f t="shared" si="109"/>
        <v>495000</v>
      </c>
      <c r="V548" s="42"/>
    </row>
    <row r="549" spans="1:22" s="50" customFormat="1" ht="20.25" customHeight="1">
      <c r="A549" s="118">
        <v>60</v>
      </c>
      <c r="B549" s="141" t="s">
        <v>46</v>
      </c>
      <c r="C549" s="351" t="s">
        <v>1077</v>
      </c>
      <c r="D549" s="270" t="s">
        <v>1071</v>
      </c>
      <c r="E549" s="141" t="s">
        <v>1072</v>
      </c>
      <c r="F549" s="80" t="s">
        <v>1138</v>
      </c>
      <c r="G549" s="66">
        <v>6</v>
      </c>
      <c r="H549" s="17">
        <v>700</v>
      </c>
      <c r="I549" s="17">
        <v>2</v>
      </c>
      <c r="J549" s="84" t="s">
        <v>62</v>
      </c>
      <c r="K549" s="85">
        <v>1</v>
      </c>
      <c r="L549" s="17"/>
      <c r="M549" s="82">
        <f t="shared" si="110"/>
        <v>210</v>
      </c>
      <c r="N549" s="82">
        <f t="shared" si="105"/>
        <v>220.5</v>
      </c>
      <c r="O549" s="82">
        <f t="shared" si="106"/>
        <v>10143</v>
      </c>
      <c r="P549" s="17">
        <v>1</v>
      </c>
      <c r="Q549" s="17">
        <v>1</v>
      </c>
      <c r="R549" s="17">
        <f t="shared" si="111"/>
        <v>495000</v>
      </c>
      <c r="S549" s="17">
        <f t="shared" si="104"/>
        <v>495000</v>
      </c>
      <c r="T549" s="17">
        <f t="shared" si="108"/>
        <v>0</v>
      </c>
      <c r="U549" s="82">
        <f t="shared" si="109"/>
        <v>495000</v>
      </c>
      <c r="V549" s="42"/>
    </row>
    <row r="550" spans="1:22" s="50" customFormat="1" ht="20.25" customHeight="1">
      <c r="A550" s="118">
        <v>61</v>
      </c>
      <c r="B550" s="141" t="s">
        <v>46</v>
      </c>
      <c r="C550" s="351" t="s">
        <v>1078</v>
      </c>
      <c r="D550" s="270" t="s">
        <v>1071</v>
      </c>
      <c r="E550" s="141" t="s">
        <v>1072</v>
      </c>
      <c r="F550" s="80" t="s">
        <v>1138</v>
      </c>
      <c r="G550" s="66">
        <v>6</v>
      </c>
      <c r="H550" s="17">
        <v>1000</v>
      </c>
      <c r="I550" s="17">
        <v>3</v>
      </c>
      <c r="J550" s="84" t="s">
        <v>62</v>
      </c>
      <c r="K550" s="85">
        <v>1</v>
      </c>
      <c r="L550" s="17"/>
      <c r="M550" s="82">
        <f t="shared" si="110"/>
        <v>300</v>
      </c>
      <c r="N550" s="82">
        <f t="shared" si="105"/>
        <v>315</v>
      </c>
      <c r="O550" s="82">
        <f t="shared" si="106"/>
        <v>14490</v>
      </c>
      <c r="P550" s="17">
        <v>1</v>
      </c>
      <c r="Q550" s="17">
        <v>1</v>
      </c>
      <c r="R550" s="17">
        <f t="shared" si="111"/>
        <v>495000</v>
      </c>
      <c r="S550" s="17">
        <f t="shared" si="104"/>
        <v>495000</v>
      </c>
      <c r="T550" s="17">
        <f t="shared" si="108"/>
        <v>0</v>
      </c>
      <c r="U550" s="82">
        <f t="shared" si="109"/>
        <v>495000</v>
      </c>
      <c r="V550" s="42"/>
    </row>
    <row r="551" spans="1:22" s="50" customFormat="1" ht="20.25" customHeight="1">
      <c r="A551" s="118">
        <v>62</v>
      </c>
      <c r="B551" s="141" t="s">
        <v>46</v>
      </c>
      <c r="C551" s="351" t="s">
        <v>1079</v>
      </c>
      <c r="D551" s="270" t="s">
        <v>1071</v>
      </c>
      <c r="E551" s="141" t="s">
        <v>1072</v>
      </c>
      <c r="F551" s="80" t="s">
        <v>1138</v>
      </c>
      <c r="G551" s="66">
        <v>6</v>
      </c>
      <c r="H551" s="17">
        <v>700</v>
      </c>
      <c r="I551" s="17">
        <v>2</v>
      </c>
      <c r="J551" s="84" t="s">
        <v>62</v>
      </c>
      <c r="K551" s="85">
        <v>1</v>
      </c>
      <c r="L551" s="17"/>
      <c r="M551" s="82">
        <f t="shared" si="110"/>
        <v>210</v>
      </c>
      <c r="N551" s="82">
        <f t="shared" si="105"/>
        <v>220.5</v>
      </c>
      <c r="O551" s="82">
        <f t="shared" si="106"/>
        <v>10143</v>
      </c>
      <c r="P551" s="17">
        <v>1</v>
      </c>
      <c r="Q551" s="17">
        <v>1</v>
      </c>
      <c r="R551" s="17">
        <f t="shared" si="111"/>
        <v>495000</v>
      </c>
      <c r="S551" s="17">
        <f t="shared" si="104"/>
        <v>495000</v>
      </c>
      <c r="T551" s="17">
        <f t="shared" si="108"/>
        <v>0</v>
      </c>
      <c r="U551" s="82">
        <f t="shared" si="109"/>
        <v>495000</v>
      </c>
      <c r="V551" s="42"/>
    </row>
    <row r="552" spans="1:22" s="50" customFormat="1" ht="20.25" customHeight="1">
      <c r="A552" s="118">
        <v>63</v>
      </c>
      <c r="B552" s="141" t="s">
        <v>46</v>
      </c>
      <c r="C552" s="351" t="s">
        <v>1080</v>
      </c>
      <c r="D552" s="270" t="s">
        <v>1071</v>
      </c>
      <c r="E552" s="141" t="s">
        <v>1072</v>
      </c>
      <c r="F552" s="80" t="s">
        <v>1138</v>
      </c>
      <c r="G552" s="66">
        <v>6</v>
      </c>
      <c r="H552" s="17">
        <v>1000</v>
      </c>
      <c r="I552" s="17">
        <v>3</v>
      </c>
      <c r="J552" s="84" t="s">
        <v>62</v>
      </c>
      <c r="K552" s="85">
        <v>1</v>
      </c>
      <c r="L552" s="17"/>
      <c r="M552" s="82">
        <f t="shared" si="110"/>
        <v>300</v>
      </c>
      <c r="N552" s="82">
        <f t="shared" si="105"/>
        <v>315</v>
      </c>
      <c r="O552" s="82">
        <f t="shared" si="106"/>
        <v>14490</v>
      </c>
      <c r="P552" s="17">
        <v>1</v>
      </c>
      <c r="Q552" s="17">
        <v>1</v>
      </c>
      <c r="R552" s="17">
        <f t="shared" si="111"/>
        <v>495000</v>
      </c>
      <c r="S552" s="17">
        <f t="shared" si="104"/>
        <v>495000</v>
      </c>
      <c r="T552" s="17">
        <f t="shared" si="108"/>
        <v>0</v>
      </c>
      <c r="U552" s="82">
        <f t="shared" si="109"/>
        <v>495000</v>
      </c>
      <c r="V552" s="42"/>
    </row>
    <row r="553" spans="1:22" s="50" customFormat="1" ht="20.25" customHeight="1">
      <c r="A553" s="118">
        <v>64</v>
      </c>
      <c r="B553" s="141" t="s">
        <v>46</v>
      </c>
      <c r="C553" s="351" t="s">
        <v>1081</v>
      </c>
      <c r="D553" s="270" t="s">
        <v>1071</v>
      </c>
      <c r="E553" s="141" t="s">
        <v>1072</v>
      </c>
      <c r="F553" s="80" t="s">
        <v>1138</v>
      </c>
      <c r="G553" s="66">
        <v>6</v>
      </c>
      <c r="H553" s="17">
        <v>1000</v>
      </c>
      <c r="I553" s="17">
        <v>3</v>
      </c>
      <c r="J553" s="84" t="s">
        <v>62</v>
      </c>
      <c r="K553" s="85">
        <v>1</v>
      </c>
      <c r="L553" s="17"/>
      <c r="M553" s="82">
        <f t="shared" si="110"/>
        <v>300</v>
      </c>
      <c r="N553" s="82">
        <f t="shared" si="105"/>
        <v>315</v>
      </c>
      <c r="O553" s="82">
        <f t="shared" si="106"/>
        <v>14490</v>
      </c>
      <c r="P553" s="17">
        <v>1</v>
      </c>
      <c r="Q553" s="17">
        <v>1</v>
      </c>
      <c r="R553" s="17">
        <f t="shared" si="111"/>
        <v>495000</v>
      </c>
      <c r="S553" s="17">
        <f t="shared" si="104"/>
        <v>495000</v>
      </c>
      <c r="T553" s="17">
        <f t="shared" si="108"/>
        <v>0</v>
      </c>
      <c r="U553" s="82">
        <f t="shared" si="109"/>
        <v>495000</v>
      </c>
      <c r="V553" s="42"/>
    </row>
    <row r="554" spans="1:21" s="42" customFormat="1" ht="20.25" customHeight="1" thickBot="1">
      <c r="A554" s="118">
        <v>65</v>
      </c>
      <c r="B554" s="141" t="s">
        <v>46</v>
      </c>
      <c r="C554" s="351" t="s">
        <v>1082</v>
      </c>
      <c r="D554" s="270" t="s">
        <v>1071</v>
      </c>
      <c r="E554" s="141" t="s">
        <v>1072</v>
      </c>
      <c r="F554" s="80" t="s">
        <v>1138</v>
      </c>
      <c r="G554" s="66">
        <v>6</v>
      </c>
      <c r="H554" s="17">
        <v>1000</v>
      </c>
      <c r="I554" s="17">
        <v>3</v>
      </c>
      <c r="J554" s="84" t="s">
        <v>62</v>
      </c>
      <c r="K554" s="85">
        <v>1</v>
      </c>
      <c r="L554" s="17"/>
      <c r="M554" s="82">
        <f t="shared" si="110"/>
        <v>300</v>
      </c>
      <c r="N554" s="82">
        <f t="shared" si="105"/>
        <v>315</v>
      </c>
      <c r="O554" s="82">
        <f t="shared" si="106"/>
        <v>14490</v>
      </c>
      <c r="P554" s="17">
        <v>1</v>
      </c>
      <c r="Q554" s="17">
        <v>1</v>
      </c>
      <c r="R554" s="17">
        <f t="shared" si="111"/>
        <v>495000</v>
      </c>
      <c r="S554" s="17">
        <f>R554*Q554*P554*K554</f>
        <v>495000</v>
      </c>
      <c r="T554" s="17">
        <f t="shared" si="108"/>
        <v>0</v>
      </c>
      <c r="U554" s="82">
        <f t="shared" si="109"/>
        <v>495000</v>
      </c>
    </row>
    <row r="555" spans="1:21" s="42" customFormat="1" ht="22.5" customHeight="1">
      <c r="A555" s="367"/>
      <c r="B555" s="368"/>
      <c r="C555" s="369"/>
      <c r="D555" s="369"/>
      <c r="E555" s="368"/>
      <c r="F555" s="368"/>
      <c r="G555" s="370"/>
      <c r="H555" s="368"/>
      <c r="I555" s="368"/>
      <c r="J555" s="371"/>
      <c r="K555" s="372"/>
      <c r="L555" s="372"/>
      <c r="M555" s="368"/>
      <c r="N555" s="368"/>
      <c r="O555" s="368"/>
      <c r="P555" s="368">
        <f>SUM(P491:P554)</f>
        <v>64</v>
      </c>
      <c r="Q555" s="368"/>
      <c r="R555" s="368"/>
      <c r="S555" s="368"/>
      <c r="T555" s="368"/>
      <c r="U555" s="373"/>
    </row>
    <row r="556" spans="1:21" s="358" customFormat="1" ht="27.75" customHeight="1">
      <c r="A556" s="374" t="s">
        <v>369</v>
      </c>
      <c r="B556" s="375"/>
      <c r="C556" s="376"/>
      <c r="D556" s="376"/>
      <c r="E556" s="377"/>
      <c r="F556" s="377"/>
      <c r="G556" s="366"/>
      <c r="H556" s="378"/>
      <c r="I556" s="378"/>
      <c r="J556" s="379"/>
      <c r="K556" s="380">
        <f>SUM(K7:K554)</f>
        <v>463</v>
      </c>
      <c r="L556" s="380">
        <f>SUM(L7:L554)</f>
        <v>112</v>
      </c>
      <c r="M556" s="380">
        <f>SUM(M7:M554)</f>
        <v>1381136.857142857</v>
      </c>
      <c r="N556" s="380">
        <f>SUM(N7:N554)</f>
        <v>1230157.5685714285</v>
      </c>
      <c r="O556" s="380">
        <f>SUM(O7:O554)</f>
        <v>56829605.404285714</v>
      </c>
      <c r="P556" s="380">
        <f>P146+P311+P490+P555</f>
        <v>537</v>
      </c>
      <c r="Q556" s="380"/>
      <c r="R556" s="380">
        <f>SUM(R7:R554)</f>
        <v>743265000</v>
      </c>
      <c r="S556" s="380">
        <f>SUM(S7:S554)</f>
        <v>673650000</v>
      </c>
      <c r="T556" s="380">
        <f>SUM(T7:T554)</f>
        <v>112792500</v>
      </c>
      <c r="U556" s="380">
        <f>S556+T556</f>
        <v>786442500</v>
      </c>
    </row>
    <row r="557" spans="1:21" s="47" customFormat="1" ht="27.75" customHeight="1">
      <c r="A557" s="198"/>
      <c r="B557" s="198"/>
      <c r="C557" s="271"/>
      <c r="D557" s="271"/>
      <c r="E557" s="199"/>
      <c r="F557" s="199"/>
      <c r="G557" s="200"/>
      <c r="H557" s="201"/>
      <c r="I557" s="201"/>
      <c r="J557" s="202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</row>
    <row r="558" spans="1:21" ht="25.5" customHeight="1">
      <c r="A558" s="56"/>
      <c r="B558" s="56"/>
      <c r="C558" s="272"/>
      <c r="D558" s="272"/>
      <c r="E558" s="57"/>
      <c r="F558" s="57"/>
      <c r="G558" s="67"/>
      <c r="H558" s="58"/>
      <c r="I558" s="58"/>
      <c r="J558" s="59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</row>
    <row r="559" spans="1:21" ht="27">
      <c r="A559" s="485" t="s">
        <v>1461</v>
      </c>
      <c r="B559" s="485"/>
      <c r="C559" s="485"/>
      <c r="D559" s="485"/>
      <c r="E559" s="485"/>
      <c r="F559" s="485"/>
      <c r="G559" s="485"/>
      <c r="H559" s="485"/>
      <c r="I559" s="485"/>
      <c r="J559" s="485"/>
      <c r="K559" s="485"/>
      <c r="L559" s="485"/>
      <c r="M559" s="485"/>
      <c r="N559" s="485"/>
      <c r="O559" s="485"/>
      <c r="P559" s="485"/>
      <c r="Q559" s="485"/>
      <c r="R559" s="485"/>
      <c r="S559" s="485"/>
      <c r="T559" s="485"/>
      <c r="U559" s="485"/>
    </row>
    <row r="560" spans="1:21" ht="14.25" customHeight="1">
      <c r="A560" s="312"/>
      <c r="B560" s="312"/>
      <c r="C560" s="273"/>
      <c r="D560" s="273"/>
      <c r="E560" s="312"/>
      <c r="F560" s="312"/>
      <c r="G560" s="312"/>
      <c r="H560" s="312"/>
      <c r="I560" s="312"/>
      <c r="J560" s="194"/>
      <c r="K560" s="194"/>
      <c r="L560" s="194"/>
      <c r="M560" s="312"/>
      <c r="N560" s="312"/>
      <c r="O560" s="312"/>
      <c r="P560" s="312"/>
      <c r="Q560" s="312"/>
      <c r="R560" s="312"/>
      <c r="S560" s="312"/>
      <c r="T560" s="312"/>
      <c r="U560" s="205"/>
    </row>
    <row r="561" spans="1:21" s="358" customFormat="1" ht="12" customHeight="1">
      <c r="A561" s="486" t="s">
        <v>0</v>
      </c>
      <c r="B561" s="482" t="s">
        <v>370</v>
      </c>
      <c r="C561" s="482" t="s">
        <v>951</v>
      </c>
      <c r="D561" s="482" t="s">
        <v>3</v>
      </c>
      <c r="E561" s="482" t="s">
        <v>1458</v>
      </c>
      <c r="F561" s="482" t="s">
        <v>1111</v>
      </c>
      <c r="G561" s="480" t="s">
        <v>5</v>
      </c>
      <c r="H561" s="480" t="s">
        <v>6</v>
      </c>
      <c r="I561" s="480" t="s">
        <v>7</v>
      </c>
      <c r="J561" s="480" t="s">
        <v>926</v>
      </c>
      <c r="K561" s="489" t="s">
        <v>8</v>
      </c>
      <c r="L561" s="491"/>
      <c r="M561" s="480" t="s">
        <v>9</v>
      </c>
      <c r="N561" s="480" t="s">
        <v>10</v>
      </c>
      <c r="O561" s="480" t="s">
        <v>11</v>
      </c>
      <c r="P561" s="480" t="s">
        <v>371</v>
      </c>
      <c r="Q561" s="480" t="s">
        <v>13</v>
      </c>
      <c r="R561" s="480" t="s">
        <v>14</v>
      </c>
      <c r="S561" s="498" t="s">
        <v>15</v>
      </c>
      <c r="T561" s="499"/>
      <c r="U561" s="500"/>
    </row>
    <row r="562" spans="1:21" s="358" customFormat="1" ht="15" customHeight="1">
      <c r="A562" s="496"/>
      <c r="B562" s="483"/>
      <c r="C562" s="483"/>
      <c r="D562" s="483"/>
      <c r="E562" s="483"/>
      <c r="F562" s="483"/>
      <c r="G562" s="494"/>
      <c r="H562" s="494"/>
      <c r="I562" s="494"/>
      <c r="J562" s="494"/>
      <c r="K562" s="492"/>
      <c r="L562" s="493"/>
      <c r="M562" s="494"/>
      <c r="N562" s="494"/>
      <c r="O562" s="494"/>
      <c r="P562" s="494"/>
      <c r="Q562" s="494"/>
      <c r="R562" s="494"/>
      <c r="S562" s="501"/>
      <c r="T562" s="502"/>
      <c r="U562" s="503"/>
    </row>
    <row r="563" spans="1:21" s="358" customFormat="1" ht="24.75" thickBot="1">
      <c r="A563" s="497"/>
      <c r="B563" s="484"/>
      <c r="C563" s="484"/>
      <c r="D563" s="484"/>
      <c r="E563" s="484"/>
      <c r="F563" s="484"/>
      <c r="G563" s="495"/>
      <c r="H563" s="495"/>
      <c r="I563" s="495"/>
      <c r="J563" s="495"/>
      <c r="K563" s="382" t="s">
        <v>801</v>
      </c>
      <c r="L563" s="382" t="s">
        <v>802</v>
      </c>
      <c r="M563" s="495"/>
      <c r="N563" s="495"/>
      <c r="O563" s="495"/>
      <c r="P563" s="495"/>
      <c r="Q563" s="495"/>
      <c r="R563" s="495"/>
      <c r="S563" s="366" t="s">
        <v>801</v>
      </c>
      <c r="T563" s="366" t="s">
        <v>802</v>
      </c>
      <c r="U563" s="366" t="s">
        <v>927</v>
      </c>
    </row>
    <row r="564" spans="1:21" s="42" customFormat="1" ht="22.5" customHeight="1">
      <c r="A564" s="367" t="s">
        <v>1430</v>
      </c>
      <c r="B564" s="368"/>
      <c r="C564" s="369"/>
      <c r="D564" s="369"/>
      <c r="E564" s="368"/>
      <c r="F564" s="368"/>
      <c r="G564" s="370"/>
      <c r="H564" s="368"/>
      <c r="I564" s="368"/>
      <c r="J564" s="371"/>
      <c r="K564" s="372"/>
      <c r="L564" s="372"/>
      <c r="M564" s="368"/>
      <c r="N564" s="368"/>
      <c r="O564" s="368"/>
      <c r="P564" s="368"/>
      <c r="Q564" s="368"/>
      <c r="R564" s="368"/>
      <c r="S564" s="368"/>
      <c r="T564" s="368"/>
      <c r="U564" s="373"/>
    </row>
    <row r="565" spans="1:21" s="42" customFormat="1" ht="24" customHeight="1">
      <c r="A565" s="8">
        <v>1</v>
      </c>
      <c r="B565" s="117" t="s">
        <v>34</v>
      </c>
      <c r="C565" s="156" t="s">
        <v>1199</v>
      </c>
      <c r="D565" s="156" t="s">
        <v>1457</v>
      </c>
      <c r="E565" s="106" t="s">
        <v>1459</v>
      </c>
      <c r="F565" s="117" t="s">
        <v>1200</v>
      </c>
      <c r="G565" s="317">
        <v>5</v>
      </c>
      <c r="H565" s="142">
        <v>6000</v>
      </c>
      <c r="I565" s="142">
        <v>1</v>
      </c>
      <c r="J565" s="146" t="s">
        <v>62</v>
      </c>
      <c r="K565" s="142">
        <v>1</v>
      </c>
      <c r="L565" s="142"/>
      <c r="M565" s="82">
        <f>G565*H565/5</f>
        <v>6000</v>
      </c>
      <c r="N565" s="82">
        <f>M565*0.15*5.5</f>
        <v>4950</v>
      </c>
      <c r="O565" s="82">
        <f>M565*6.6*5.5+N565*2</f>
        <v>227700</v>
      </c>
      <c r="P565" s="142">
        <v>1</v>
      </c>
      <c r="Q565" s="142">
        <v>1</v>
      </c>
      <c r="R565" s="142">
        <f>90*$R$2</f>
        <v>2025000</v>
      </c>
      <c r="S565" s="142">
        <f>R565*Q565*P565*K565</f>
        <v>2025000</v>
      </c>
      <c r="T565" s="142">
        <f>R565*Q565*P565*L565</f>
        <v>0</v>
      </c>
      <c r="U565" s="142">
        <f>S565+T565</f>
        <v>2025000</v>
      </c>
    </row>
    <row r="566" spans="1:21" s="42" customFormat="1" ht="24" customHeight="1">
      <c r="A566" s="8">
        <v>2</v>
      </c>
      <c r="B566" s="8" t="s">
        <v>34</v>
      </c>
      <c r="C566" s="278" t="s">
        <v>883</v>
      </c>
      <c r="D566" s="274" t="s">
        <v>882</v>
      </c>
      <c r="E566" s="204" t="s">
        <v>1460</v>
      </c>
      <c r="F566" s="117" t="s">
        <v>1489</v>
      </c>
      <c r="G566" s="317">
        <v>6</v>
      </c>
      <c r="H566" s="313">
        <v>50000</v>
      </c>
      <c r="I566" s="145">
        <v>1</v>
      </c>
      <c r="J566" s="146" t="s">
        <v>40</v>
      </c>
      <c r="K566" s="142">
        <v>1</v>
      </c>
      <c r="L566" s="17">
        <v>0</v>
      </c>
      <c r="M566" s="82">
        <f>G566*H566/5</f>
        <v>60000</v>
      </c>
      <c r="N566" s="82">
        <f>M566*0.15*5.5</f>
        <v>49500</v>
      </c>
      <c r="O566" s="82">
        <f>M566*6.6*5.5+N566*2</f>
        <v>2277000</v>
      </c>
      <c r="P566" s="142">
        <v>1</v>
      </c>
      <c r="Q566" s="142">
        <v>1</v>
      </c>
      <c r="R566" s="142">
        <f>90*$R$2</f>
        <v>2025000</v>
      </c>
      <c r="S566" s="142">
        <f>R566*Q566*P566*K566</f>
        <v>2025000</v>
      </c>
      <c r="T566" s="142">
        <f>R566*Q566*P566*L566</f>
        <v>0</v>
      </c>
      <c r="U566" s="142">
        <f>S566+T566</f>
        <v>2025000</v>
      </c>
    </row>
    <row r="567" spans="1:21" s="42" customFormat="1" ht="24" customHeight="1">
      <c r="A567" s="8">
        <v>3</v>
      </c>
      <c r="B567" s="8" t="s">
        <v>34</v>
      </c>
      <c r="C567" s="278" t="s">
        <v>1362</v>
      </c>
      <c r="D567" s="274" t="s">
        <v>1363</v>
      </c>
      <c r="E567" s="204" t="s">
        <v>1364</v>
      </c>
      <c r="F567" s="117" t="s">
        <v>1200</v>
      </c>
      <c r="G567" s="317">
        <v>5</v>
      </c>
      <c r="H567" s="313">
        <v>22000</v>
      </c>
      <c r="I567" s="145">
        <v>1</v>
      </c>
      <c r="J567" s="146" t="s">
        <v>62</v>
      </c>
      <c r="K567" s="142">
        <v>1</v>
      </c>
      <c r="L567" s="17">
        <v>0</v>
      </c>
      <c r="M567" s="82">
        <f>G567*H567/5</f>
        <v>22000</v>
      </c>
      <c r="N567" s="82">
        <f>M567*0.15*5.5</f>
        <v>18150</v>
      </c>
      <c r="O567" s="82">
        <f>M567*6.6*5.5+N567*2</f>
        <v>834900</v>
      </c>
      <c r="P567" s="142">
        <v>1</v>
      </c>
      <c r="Q567" s="142">
        <v>1</v>
      </c>
      <c r="R567" s="142">
        <f>90*$R$2</f>
        <v>2025000</v>
      </c>
      <c r="S567" s="142">
        <f>R567*Q567*P567*K567</f>
        <v>2025000</v>
      </c>
      <c r="T567" s="142">
        <f>R567*Q567*P567*L567</f>
        <v>0</v>
      </c>
      <c r="U567" s="142">
        <f>S567+T567</f>
        <v>2025000</v>
      </c>
    </row>
    <row r="568" spans="1:21" s="42" customFormat="1" ht="24" customHeight="1">
      <c r="A568" s="8">
        <v>4</v>
      </c>
      <c r="B568" s="8" t="s">
        <v>34</v>
      </c>
      <c r="C568" s="278" t="s">
        <v>1420</v>
      </c>
      <c r="D568" s="274" t="s">
        <v>1421</v>
      </c>
      <c r="E568" s="204" t="s">
        <v>1422</v>
      </c>
      <c r="F568" s="117" t="s">
        <v>1520</v>
      </c>
      <c r="G568" s="317">
        <v>5</v>
      </c>
      <c r="H568" s="313">
        <v>3000</v>
      </c>
      <c r="I568" s="145">
        <v>1</v>
      </c>
      <c r="J568" s="146" t="s">
        <v>62</v>
      </c>
      <c r="K568" s="142">
        <v>1</v>
      </c>
      <c r="L568" s="17">
        <v>0</v>
      </c>
      <c r="M568" s="82">
        <f>G568*H568/5</f>
        <v>3000</v>
      </c>
      <c r="N568" s="82">
        <f>M568*0.15*5.5</f>
        <v>2475</v>
      </c>
      <c r="O568" s="82">
        <f>M568*6.6*5.5+N568*2</f>
        <v>113850</v>
      </c>
      <c r="P568" s="142">
        <v>1</v>
      </c>
      <c r="Q568" s="142">
        <v>1</v>
      </c>
      <c r="R568" s="142">
        <f>90*$R$2</f>
        <v>2025000</v>
      </c>
      <c r="S568" s="142">
        <f>R568*Q568*P568*K568</f>
        <v>2025000</v>
      </c>
      <c r="T568" s="142">
        <f>R568*Q568*P568*L568</f>
        <v>0</v>
      </c>
      <c r="U568" s="142">
        <f>S568+T568</f>
        <v>2025000</v>
      </c>
    </row>
    <row r="569" spans="1:21" s="358" customFormat="1" ht="27.75" customHeight="1">
      <c r="A569" s="374" t="s">
        <v>369</v>
      </c>
      <c r="B569" s="375"/>
      <c r="C569" s="376"/>
      <c r="D569" s="376"/>
      <c r="E569" s="377"/>
      <c r="F569" s="377"/>
      <c r="G569" s="366"/>
      <c r="H569" s="378"/>
      <c r="I569" s="378"/>
      <c r="J569" s="379"/>
      <c r="K569" s="380">
        <f aca="true" t="shared" si="112" ref="K569:Q569">SUM(K565:K568)</f>
        <v>4</v>
      </c>
      <c r="L569" s="380">
        <f t="shared" si="112"/>
        <v>0</v>
      </c>
      <c r="M569" s="380">
        <f t="shared" si="112"/>
        <v>91000</v>
      </c>
      <c r="N569" s="380">
        <f t="shared" si="112"/>
        <v>75075</v>
      </c>
      <c r="O569" s="380">
        <f t="shared" si="112"/>
        <v>3453450</v>
      </c>
      <c r="P569" s="380">
        <f t="shared" si="112"/>
        <v>4</v>
      </c>
      <c r="Q569" s="380">
        <f t="shared" si="112"/>
        <v>4</v>
      </c>
      <c r="R569" s="380">
        <f>SUM(R565:R568)</f>
        <v>8100000</v>
      </c>
      <c r="S569" s="380">
        <f>SUM(S565:S568)</f>
        <v>8100000</v>
      </c>
      <c r="T569" s="380">
        <f>SUM(T565:T568)</f>
        <v>0</v>
      </c>
      <c r="U569" s="380">
        <f>SUM(U565:U568)</f>
        <v>8100000</v>
      </c>
    </row>
    <row r="570" spans="3:11" ht="15.75">
      <c r="C570" s="206" t="s">
        <v>1302</v>
      </c>
      <c r="D570" s="167"/>
      <c r="E570" s="12"/>
      <c r="F570" s="12"/>
      <c r="G570" s="68"/>
      <c r="H570" s="12"/>
      <c r="J570" s="15"/>
      <c r="K570" s="15"/>
    </row>
    <row r="571" spans="3:11" ht="12">
      <c r="C571" s="11" t="s">
        <v>915</v>
      </c>
      <c r="D571" s="167"/>
      <c r="E571" s="12"/>
      <c r="F571" s="12"/>
      <c r="G571" s="68"/>
      <c r="H571" s="12"/>
      <c r="J571" s="15"/>
      <c r="K571" s="15"/>
    </row>
    <row r="572" spans="3:11" ht="12">
      <c r="C572" s="11" t="s">
        <v>916</v>
      </c>
      <c r="D572" s="167"/>
      <c r="E572" s="12"/>
      <c r="F572" s="12"/>
      <c r="G572" s="68"/>
      <c r="H572" s="12"/>
      <c r="J572" s="15"/>
      <c r="K572" s="15"/>
    </row>
    <row r="573" spans="1:21" ht="15">
      <c r="A573" s="10"/>
      <c r="B573" s="10"/>
      <c r="C573" s="11" t="s">
        <v>917</v>
      </c>
      <c r="D573" s="167"/>
      <c r="E573" s="12"/>
      <c r="F573" s="12"/>
      <c r="G573" s="68"/>
      <c r="H573" s="12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ht="15">
      <c r="A574" s="10"/>
      <c r="B574" s="10"/>
      <c r="C574" s="11" t="s">
        <v>918</v>
      </c>
      <c r="D574" s="167"/>
      <c r="E574" s="12"/>
      <c r="F574" s="12"/>
      <c r="G574" s="68"/>
      <c r="H574" s="12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ht="15">
      <c r="A575" s="10"/>
      <c r="B575" s="10"/>
      <c r="C575" s="11" t="s">
        <v>919</v>
      </c>
      <c r="D575" s="167"/>
      <c r="E575" s="12"/>
      <c r="F575" s="12"/>
      <c r="G575" s="68"/>
      <c r="H575" s="12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ht="15">
      <c r="A576" s="10"/>
      <c r="B576" s="10"/>
      <c r="C576" s="11" t="s">
        <v>920</v>
      </c>
      <c r="D576" s="167"/>
      <c r="E576" s="12"/>
      <c r="F576" s="12"/>
      <c r="G576" s="68"/>
      <c r="H576" s="12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ht="15">
      <c r="A577" s="10"/>
      <c r="B577" s="10"/>
      <c r="C577" s="11" t="s">
        <v>921</v>
      </c>
      <c r="D577" s="167"/>
      <c r="E577" s="12"/>
      <c r="F577" s="12"/>
      <c r="G577" s="68"/>
      <c r="H577" s="12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ht="15">
      <c r="A578" s="10"/>
      <c r="B578" s="10"/>
      <c r="C578" s="275"/>
      <c r="D578" s="275"/>
      <c r="E578" s="10"/>
      <c r="F578" s="10"/>
      <c r="G578" s="6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ht="15">
      <c r="A579" s="10"/>
      <c r="B579" s="10"/>
      <c r="C579" s="275"/>
      <c r="D579" s="275"/>
      <c r="E579" s="10"/>
      <c r="F579" s="10"/>
      <c r="G579" s="63"/>
      <c r="H579" s="10"/>
      <c r="I579" s="12"/>
      <c r="J579" s="23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ht="15">
      <c r="A580" s="10"/>
      <c r="B580" s="10"/>
      <c r="C580" s="275"/>
      <c r="D580" s="275"/>
      <c r="E580" s="10"/>
      <c r="F580" s="10"/>
      <c r="G580" s="63"/>
      <c r="H580" s="10"/>
      <c r="I580" s="12"/>
      <c r="J580" s="23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ht="15">
      <c r="A581" s="10"/>
      <c r="B581" s="10"/>
      <c r="C581" s="275"/>
      <c r="D581" s="275"/>
      <c r="E581" s="10"/>
      <c r="F581" s="10"/>
      <c r="G581" s="63"/>
      <c r="H581" s="10"/>
      <c r="I581" s="12"/>
      <c r="J581" s="23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ht="15">
      <c r="A582" s="10"/>
      <c r="B582" s="10"/>
      <c r="C582" s="275"/>
      <c r="D582" s="275"/>
      <c r="E582" s="10"/>
      <c r="F582" s="10"/>
      <c r="G582" s="63"/>
      <c r="H582" s="10"/>
      <c r="I582" s="12"/>
      <c r="J582" s="23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ht="15">
      <c r="A583" s="10"/>
      <c r="B583" s="10"/>
      <c r="C583" s="275"/>
      <c r="D583" s="275"/>
      <c r="E583" s="10"/>
      <c r="F583" s="10"/>
      <c r="G583" s="63"/>
      <c r="H583" s="10"/>
      <c r="I583" s="12"/>
      <c r="J583" s="23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ht="15">
      <c r="A584" s="10"/>
      <c r="B584" s="10"/>
      <c r="C584" s="275"/>
      <c r="D584" s="275"/>
      <c r="E584" s="10"/>
      <c r="F584" s="10"/>
      <c r="G584" s="63"/>
      <c r="H584" s="10"/>
      <c r="I584" s="12"/>
      <c r="J584" s="23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ht="15">
      <c r="A585" s="10"/>
      <c r="B585" s="10"/>
      <c r="C585" s="15"/>
      <c r="D585" s="275"/>
      <c r="E585" s="10"/>
      <c r="F585" s="10"/>
      <c r="G585" s="63"/>
      <c r="H585" s="10"/>
      <c r="I585" s="12"/>
      <c r="J585" s="23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ht="12">
      <c r="C586" s="15"/>
    </row>
    <row r="587" ht="12">
      <c r="C587" s="15"/>
    </row>
    <row r="588" ht="12">
      <c r="C588" s="15"/>
    </row>
    <row r="589" ht="12">
      <c r="C589" s="15"/>
    </row>
    <row r="590" ht="12">
      <c r="C590" s="15"/>
    </row>
    <row r="591" ht="12">
      <c r="C591" s="15"/>
    </row>
    <row r="592" ht="12">
      <c r="C592" s="15"/>
    </row>
    <row r="593" ht="12">
      <c r="C593" s="15"/>
    </row>
    <row r="594" ht="12">
      <c r="C594" s="15"/>
    </row>
    <row r="595" ht="12">
      <c r="C595" s="15"/>
    </row>
    <row r="596" ht="12">
      <c r="C596" s="15"/>
    </row>
    <row r="597" ht="12">
      <c r="C597" s="15"/>
    </row>
    <row r="598" ht="12">
      <c r="C598" s="15"/>
    </row>
    <row r="599" ht="12">
      <c r="C599" s="15"/>
    </row>
    <row r="600" ht="12">
      <c r="C600" s="15"/>
    </row>
    <row r="601" ht="12">
      <c r="C601" s="15"/>
    </row>
    <row r="602" ht="12">
      <c r="C602" s="15"/>
    </row>
    <row r="603" ht="12">
      <c r="C603" s="15"/>
    </row>
    <row r="604" ht="12">
      <c r="C604" s="15"/>
    </row>
    <row r="605" ht="12">
      <c r="C605" s="15"/>
    </row>
    <row r="606" ht="12">
      <c r="C606" s="15"/>
    </row>
    <row r="607" ht="12">
      <c r="C607" s="15"/>
    </row>
    <row r="608" ht="12">
      <c r="C608" s="15"/>
    </row>
    <row r="609" ht="12">
      <c r="C609" s="15"/>
    </row>
    <row r="610" ht="12">
      <c r="C610" s="15"/>
    </row>
    <row r="611" ht="12">
      <c r="C611" s="15"/>
    </row>
    <row r="612" ht="12">
      <c r="C612" s="15"/>
    </row>
    <row r="613" ht="12">
      <c r="C613" s="15"/>
    </row>
    <row r="614" ht="12">
      <c r="C614" s="15"/>
    </row>
    <row r="615" ht="12">
      <c r="C615" s="15"/>
    </row>
    <row r="616" ht="12">
      <c r="C616" s="15"/>
    </row>
    <row r="617" ht="12">
      <c r="C617" s="15"/>
    </row>
    <row r="618" ht="12">
      <c r="C618" s="15"/>
    </row>
    <row r="619" ht="12">
      <c r="C619" s="15"/>
    </row>
    <row r="620" ht="12">
      <c r="C620" s="15"/>
    </row>
    <row r="621" ht="12">
      <c r="C621" s="15"/>
    </row>
    <row r="622" ht="12">
      <c r="C622" s="15"/>
    </row>
    <row r="623" ht="12">
      <c r="C623" s="15"/>
    </row>
    <row r="624" ht="12">
      <c r="C624" s="15"/>
    </row>
    <row r="625" ht="12">
      <c r="C625" s="15"/>
    </row>
    <row r="626" ht="12">
      <c r="C626" s="15"/>
    </row>
    <row r="627" ht="12">
      <c r="C627" s="15"/>
    </row>
    <row r="628" ht="12">
      <c r="C628" s="15"/>
    </row>
    <row r="629" ht="12">
      <c r="C629" s="15"/>
    </row>
    <row r="630" ht="12">
      <c r="C630" s="15"/>
    </row>
    <row r="631" ht="12">
      <c r="C631" s="15"/>
    </row>
    <row r="632" ht="12">
      <c r="C632" s="15"/>
    </row>
    <row r="633" ht="12">
      <c r="C633" s="15"/>
    </row>
    <row r="634" ht="12">
      <c r="C634" s="15"/>
    </row>
    <row r="635" ht="12">
      <c r="C635" s="15"/>
    </row>
    <row r="636" ht="12">
      <c r="C636" s="15"/>
    </row>
    <row r="637" ht="12">
      <c r="C637" s="15"/>
    </row>
    <row r="638" ht="12">
      <c r="C638" s="15"/>
    </row>
    <row r="639" ht="12">
      <c r="C639" s="15"/>
    </row>
    <row r="640" ht="12">
      <c r="C640" s="15"/>
    </row>
    <row r="641" ht="12">
      <c r="C641" s="15"/>
    </row>
    <row r="642" ht="12">
      <c r="C642" s="15"/>
    </row>
    <row r="643" ht="12">
      <c r="C643" s="15"/>
    </row>
    <row r="644" ht="12">
      <c r="C644" s="15"/>
    </row>
    <row r="645" ht="12">
      <c r="C645" s="15"/>
    </row>
    <row r="646" ht="12">
      <c r="C646" s="15"/>
    </row>
    <row r="647" ht="12">
      <c r="C647" s="15"/>
    </row>
    <row r="648" ht="12">
      <c r="C648" s="15"/>
    </row>
    <row r="649" ht="12">
      <c r="C649" s="15"/>
    </row>
    <row r="650" ht="12">
      <c r="C650" s="15"/>
    </row>
    <row r="651" ht="12">
      <c r="C651" s="15"/>
    </row>
    <row r="652" ht="12">
      <c r="C652" s="15"/>
    </row>
    <row r="653" ht="12">
      <c r="C653" s="15"/>
    </row>
    <row r="654" ht="12">
      <c r="C654" s="15"/>
    </row>
    <row r="655" ht="12">
      <c r="C655" s="15"/>
    </row>
    <row r="656" ht="12">
      <c r="C656" s="15"/>
    </row>
    <row r="657" ht="12">
      <c r="C657" s="15"/>
    </row>
    <row r="658" ht="12">
      <c r="C658" s="15"/>
    </row>
    <row r="659" ht="12">
      <c r="C659" s="15"/>
    </row>
    <row r="660" ht="12">
      <c r="C660" s="15"/>
    </row>
    <row r="661" ht="12">
      <c r="C661" s="15"/>
    </row>
    <row r="662" ht="12">
      <c r="C662" s="15"/>
    </row>
    <row r="663" ht="12">
      <c r="C663" s="15"/>
    </row>
    <row r="664" ht="12">
      <c r="C664" s="15"/>
    </row>
    <row r="665" ht="12">
      <c r="C665" s="15"/>
    </row>
    <row r="666" ht="12">
      <c r="C666" s="15"/>
    </row>
    <row r="667" ht="12">
      <c r="C667" s="15"/>
    </row>
    <row r="668" ht="12">
      <c r="C668" s="15"/>
    </row>
    <row r="669" ht="12">
      <c r="C669" s="15"/>
    </row>
    <row r="670" ht="12">
      <c r="C670" s="15"/>
    </row>
    <row r="671" ht="12">
      <c r="C671" s="15"/>
    </row>
    <row r="672" ht="12">
      <c r="C672" s="15"/>
    </row>
    <row r="673" ht="12">
      <c r="C673" s="15"/>
    </row>
    <row r="674" ht="12">
      <c r="C674" s="15"/>
    </row>
    <row r="675" ht="12">
      <c r="C675" s="15"/>
    </row>
    <row r="676" ht="12">
      <c r="C676" s="15"/>
    </row>
    <row r="677" ht="12">
      <c r="C677" s="15"/>
    </row>
    <row r="678" ht="12">
      <c r="C678" s="15"/>
    </row>
    <row r="679" ht="12">
      <c r="C679" s="15"/>
    </row>
    <row r="680" ht="12">
      <c r="C680" s="15"/>
    </row>
    <row r="681" ht="12">
      <c r="C681" s="15"/>
    </row>
    <row r="682" ht="12">
      <c r="C682" s="15"/>
    </row>
    <row r="683" ht="12">
      <c r="C683" s="15"/>
    </row>
    <row r="684" ht="12">
      <c r="C684" s="15"/>
    </row>
    <row r="685" ht="12">
      <c r="C685" s="15"/>
    </row>
    <row r="686" ht="12">
      <c r="C686" s="15"/>
    </row>
    <row r="687" ht="12">
      <c r="C687" s="15"/>
    </row>
    <row r="688" ht="12">
      <c r="C688" s="15"/>
    </row>
    <row r="689" ht="12">
      <c r="C689" s="15"/>
    </row>
    <row r="690" ht="12">
      <c r="C690" s="15"/>
    </row>
    <row r="691" ht="12">
      <c r="C691" s="15"/>
    </row>
    <row r="692" ht="12">
      <c r="C692" s="15"/>
    </row>
    <row r="693" ht="12">
      <c r="C693" s="15"/>
    </row>
    <row r="694" ht="12">
      <c r="C694" s="15"/>
    </row>
    <row r="695" ht="12">
      <c r="C695" s="15"/>
    </row>
    <row r="696" ht="12">
      <c r="C696" s="15"/>
    </row>
    <row r="697" ht="12">
      <c r="C697" s="15"/>
    </row>
    <row r="698" ht="12">
      <c r="C698" s="15"/>
    </row>
    <row r="699" ht="12">
      <c r="C699" s="15"/>
    </row>
    <row r="700" ht="12">
      <c r="C700" s="15"/>
    </row>
    <row r="701" ht="12">
      <c r="C701" s="15"/>
    </row>
    <row r="702" ht="12">
      <c r="C702" s="15"/>
    </row>
    <row r="703" ht="12">
      <c r="C703" s="15"/>
    </row>
    <row r="704" ht="12">
      <c r="C704" s="15"/>
    </row>
    <row r="705" ht="12">
      <c r="C705" s="15"/>
    </row>
    <row r="706" ht="12">
      <c r="C706" s="15"/>
    </row>
    <row r="707" ht="12">
      <c r="C707" s="15"/>
    </row>
    <row r="708" ht="12">
      <c r="C708" s="15"/>
    </row>
    <row r="709" ht="12">
      <c r="C709" s="15"/>
    </row>
    <row r="710" ht="12">
      <c r="C710" s="15"/>
    </row>
    <row r="711" ht="12">
      <c r="C711" s="15"/>
    </row>
    <row r="712" ht="12">
      <c r="C712" s="15"/>
    </row>
    <row r="713" ht="12">
      <c r="C713" s="15"/>
    </row>
    <row r="714" ht="12">
      <c r="C714" s="15"/>
    </row>
    <row r="715" ht="12">
      <c r="C715" s="15"/>
    </row>
    <row r="716" ht="12">
      <c r="C716" s="15"/>
    </row>
    <row r="717" ht="12">
      <c r="C717" s="15"/>
    </row>
    <row r="718" ht="12">
      <c r="C718" s="15"/>
    </row>
    <row r="719" ht="12">
      <c r="C719" s="15"/>
    </row>
    <row r="720" ht="12">
      <c r="C720" s="15"/>
    </row>
    <row r="721" ht="12">
      <c r="C721" s="15"/>
    </row>
    <row r="722" ht="12">
      <c r="C722" s="15"/>
    </row>
    <row r="723" ht="12">
      <c r="C723" s="15"/>
    </row>
    <row r="724" ht="12">
      <c r="C724" s="15"/>
    </row>
    <row r="725" ht="12">
      <c r="C725" s="15"/>
    </row>
    <row r="726" ht="12">
      <c r="C726" s="15"/>
    </row>
    <row r="727" ht="12">
      <c r="C727" s="15"/>
    </row>
    <row r="728" ht="12">
      <c r="C728" s="15"/>
    </row>
    <row r="729" ht="12">
      <c r="C729" s="15"/>
    </row>
    <row r="730" ht="12">
      <c r="C730" s="15"/>
    </row>
    <row r="731" ht="12">
      <c r="C731" s="15"/>
    </row>
    <row r="732" ht="12">
      <c r="C732" s="15"/>
    </row>
    <row r="733" ht="12">
      <c r="C733" s="15"/>
    </row>
    <row r="734" ht="12">
      <c r="C734" s="15"/>
    </row>
    <row r="735" ht="12">
      <c r="C735" s="15"/>
    </row>
    <row r="736" ht="12">
      <c r="C736" s="15"/>
    </row>
    <row r="737" ht="12">
      <c r="C737" s="15"/>
    </row>
    <row r="738" ht="12">
      <c r="C738" s="15"/>
    </row>
    <row r="739" ht="12">
      <c r="C739" s="15"/>
    </row>
    <row r="740" ht="12">
      <c r="C740" s="15"/>
    </row>
    <row r="741" ht="12">
      <c r="C741" s="15"/>
    </row>
    <row r="742" ht="12">
      <c r="C742" s="15"/>
    </row>
    <row r="743" ht="12">
      <c r="C743" s="15"/>
    </row>
    <row r="744" ht="12">
      <c r="C744" s="15"/>
    </row>
    <row r="745" ht="12">
      <c r="C745" s="15"/>
    </row>
    <row r="746" ht="12">
      <c r="C746" s="15"/>
    </row>
    <row r="747" ht="12">
      <c r="C747" s="15"/>
    </row>
    <row r="748" ht="12">
      <c r="C748" s="15"/>
    </row>
    <row r="749" ht="12">
      <c r="C749" s="15"/>
    </row>
    <row r="750" ht="12">
      <c r="C750" s="15"/>
    </row>
    <row r="751" ht="12">
      <c r="C751" s="15"/>
    </row>
    <row r="752" ht="12">
      <c r="C752" s="15"/>
    </row>
    <row r="753" ht="12">
      <c r="C753" s="15"/>
    </row>
    <row r="754" ht="12">
      <c r="C754" s="15"/>
    </row>
    <row r="755" ht="12">
      <c r="C755" s="15"/>
    </row>
    <row r="756" ht="12">
      <c r="C756" s="15"/>
    </row>
    <row r="757" ht="12">
      <c r="C757" s="15"/>
    </row>
    <row r="758" ht="12">
      <c r="C758" s="15"/>
    </row>
    <row r="759" ht="12">
      <c r="C759" s="15"/>
    </row>
    <row r="760" ht="12">
      <c r="C760" s="15"/>
    </row>
    <row r="761" ht="12">
      <c r="C761" s="15"/>
    </row>
    <row r="762" ht="12">
      <c r="C762" s="15"/>
    </row>
    <row r="763" ht="12">
      <c r="C763" s="15"/>
    </row>
    <row r="764" ht="12">
      <c r="C764" s="15"/>
    </row>
    <row r="765" ht="12">
      <c r="C765" s="15"/>
    </row>
    <row r="766" ht="12">
      <c r="C766" s="15"/>
    </row>
    <row r="767" ht="12">
      <c r="C767" s="15"/>
    </row>
    <row r="768" ht="12">
      <c r="C768" s="15"/>
    </row>
    <row r="769" ht="12">
      <c r="C769" s="15"/>
    </row>
    <row r="770" ht="12">
      <c r="C770" s="15"/>
    </row>
    <row r="771" ht="12">
      <c r="C771" s="15"/>
    </row>
    <row r="772" ht="12">
      <c r="C772" s="15"/>
    </row>
    <row r="773" ht="12">
      <c r="C773" s="15"/>
    </row>
    <row r="774" ht="12">
      <c r="C774" s="15"/>
    </row>
    <row r="775" ht="12">
      <c r="C775" s="15"/>
    </row>
    <row r="776" ht="12">
      <c r="C776" s="15"/>
    </row>
    <row r="777" ht="12">
      <c r="C777" s="15"/>
    </row>
    <row r="778" ht="12">
      <c r="C778" s="15"/>
    </row>
  </sheetData>
  <sheetProtection/>
  <mergeCells count="38">
    <mergeCell ref="Q561:Q563"/>
    <mergeCell ref="R561:R563"/>
    <mergeCell ref="A559:U559"/>
    <mergeCell ref="S561:U562"/>
    <mergeCell ref="G561:G563"/>
    <mergeCell ref="H561:H563"/>
    <mergeCell ref="I561:I563"/>
    <mergeCell ref="J561:J563"/>
    <mergeCell ref="K561:L562"/>
    <mergeCell ref="M561:M563"/>
    <mergeCell ref="N561:N563"/>
    <mergeCell ref="O561:O563"/>
    <mergeCell ref="P561:P563"/>
    <mergeCell ref="A561:A563"/>
    <mergeCell ref="B561:B563"/>
    <mergeCell ref="C561:C563"/>
    <mergeCell ref="D561:D563"/>
    <mergeCell ref="E561:E563"/>
    <mergeCell ref="N3:N4"/>
    <mergeCell ref="H3:H4"/>
    <mergeCell ref="I3:I4"/>
    <mergeCell ref="Q3:Q4"/>
    <mergeCell ref="R3:R4"/>
    <mergeCell ref="S3:U3"/>
    <mergeCell ref="J3:J4"/>
    <mergeCell ref="K3:L4"/>
    <mergeCell ref="O3:O4"/>
    <mergeCell ref="P3:P4"/>
    <mergeCell ref="M3:M4"/>
    <mergeCell ref="F561:F563"/>
    <mergeCell ref="A1:U1"/>
    <mergeCell ref="A3:A4"/>
    <mergeCell ref="B3:B4"/>
    <mergeCell ref="C3:C4"/>
    <mergeCell ref="D3:D4"/>
    <mergeCell ref="E3:E4"/>
    <mergeCell ref="F3:F4"/>
    <mergeCell ref="G3:G4"/>
  </mergeCells>
  <printOptions/>
  <pageMargins left="0.15748031496062992" right="0.15748031496062992" top="0.2362204724409449" bottom="0.2755905511811024" header="0.15748031496062992" footer="0.1574803149606299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H661"/>
  <sheetViews>
    <sheetView zoomScale="90" zoomScaleNormal="90" zoomScaleSheetLayoutView="100" zoomScalePageLayoutView="0" workbookViewId="0" topLeftCell="A1">
      <selection activeCell="A1" sqref="A1:U1"/>
    </sheetView>
  </sheetViews>
  <sheetFormatPr defaultColWidth="9.140625" defaultRowHeight="15"/>
  <cols>
    <col min="1" max="1" width="4.00390625" style="18" customWidth="1"/>
    <col min="2" max="2" width="5.57421875" style="18" customWidth="1"/>
    <col min="3" max="3" width="30.8515625" style="62" customWidth="1"/>
    <col min="4" max="4" width="20.140625" style="62" customWidth="1"/>
    <col min="5" max="5" width="9.00390625" style="18" customWidth="1"/>
    <col min="6" max="6" width="4.28125" style="62" customWidth="1"/>
    <col min="7" max="7" width="6.00390625" style="18" customWidth="1"/>
    <col min="8" max="8" width="7.421875" style="18" customWidth="1"/>
    <col min="9" max="9" width="5.140625" style="18" customWidth="1"/>
    <col min="10" max="10" width="8.421875" style="310" customWidth="1"/>
    <col min="11" max="11" width="4.57421875" style="28" customWidth="1"/>
    <col min="12" max="12" width="4.140625" style="28" customWidth="1"/>
    <col min="13" max="13" width="8.140625" style="18" customWidth="1"/>
    <col min="14" max="14" width="7.8515625" style="18" customWidth="1"/>
    <col min="15" max="15" width="10.421875" style="18" customWidth="1"/>
    <col min="16" max="16" width="4.8515625" style="70" customWidth="1"/>
    <col min="17" max="17" width="3.421875" style="18" customWidth="1"/>
    <col min="18" max="18" width="11.421875" style="18" customWidth="1"/>
    <col min="19" max="19" width="11.57421875" style="18" customWidth="1"/>
    <col min="20" max="20" width="11.28125" style="70" customWidth="1"/>
    <col min="21" max="21" width="11.421875" style="18" customWidth="1"/>
    <col min="22" max="16384" width="9.140625" style="18" customWidth="1"/>
  </cols>
  <sheetData>
    <row r="1" spans="1:21" ht="26.25" customHeight="1">
      <c r="A1" s="509" t="s">
        <v>1203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</row>
    <row r="2" spans="1:21" ht="9.75" customHeight="1">
      <c r="A2" s="254"/>
      <c r="B2" s="255"/>
      <c r="C2" s="279"/>
      <c r="D2" s="279"/>
      <c r="E2" s="255"/>
      <c r="F2" s="255"/>
      <c r="G2" s="256"/>
      <c r="H2" s="256"/>
      <c r="I2" s="256"/>
      <c r="J2" s="256"/>
      <c r="K2" s="257"/>
      <c r="L2" s="257"/>
      <c r="M2" s="256"/>
      <c r="N2" s="256"/>
      <c r="O2" s="207"/>
      <c r="P2" s="256"/>
      <c r="Q2" s="207"/>
      <c r="R2" s="207">
        <v>22500</v>
      </c>
      <c r="S2" s="207"/>
      <c r="T2" s="256"/>
      <c r="U2" s="257">
        <v>21000</v>
      </c>
    </row>
    <row r="3" spans="1:21" s="356" customFormat="1" ht="34.5" customHeight="1">
      <c r="A3" s="507" t="s">
        <v>0</v>
      </c>
      <c r="B3" s="482" t="s">
        <v>1521</v>
      </c>
      <c r="C3" s="504" t="s">
        <v>951</v>
      </c>
      <c r="D3" s="504" t="s">
        <v>3</v>
      </c>
      <c r="E3" s="482" t="s">
        <v>4</v>
      </c>
      <c r="F3" s="482" t="s">
        <v>1111</v>
      </c>
      <c r="G3" s="480" t="s">
        <v>5</v>
      </c>
      <c r="H3" s="480" t="s">
        <v>6</v>
      </c>
      <c r="I3" s="480" t="s">
        <v>7</v>
      </c>
      <c r="J3" s="480" t="s">
        <v>926</v>
      </c>
      <c r="K3" s="489" t="s">
        <v>8</v>
      </c>
      <c r="L3" s="491"/>
      <c r="M3" s="480" t="s">
        <v>9</v>
      </c>
      <c r="N3" s="480" t="s">
        <v>10</v>
      </c>
      <c r="O3" s="480" t="s">
        <v>1129</v>
      </c>
      <c r="P3" s="480" t="s">
        <v>371</v>
      </c>
      <c r="Q3" s="480" t="s">
        <v>1408</v>
      </c>
      <c r="R3" s="480" t="s">
        <v>14</v>
      </c>
      <c r="S3" s="489" t="s">
        <v>15</v>
      </c>
      <c r="T3" s="490"/>
      <c r="U3" s="491"/>
    </row>
    <row r="4" spans="1:21" s="356" customFormat="1" ht="39" customHeight="1">
      <c r="A4" s="508"/>
      <c r="B4" s="488"/>
      <c r="C4" s="505"/>
      <c r="D4" s="505"/>
      <c r="E4" s="488"/>
      <c r="F4" s="488"/>
      <c r="G4" s="481"/>
      <c r="H4" s="481"/>
      <c r="I4" s="481"/>
      <c r="J4" s="481"/>
      <c r="K4" s="492"/>
      <c r="L4" s="493"/>
      <c r="M4" s="481"/>
      <c r="N4" s="481"/>
      <c r="O4" s="481"/>
      <c r="P4" s="481"/>
      <c r="Q4" s="481"/>
      <c r="R4" s="481"/>
      <c r="S4" s="366" t="s">
        <v>801</v>
      </c>
      <c r="T4" s="366" t="s">
        <v>802</v>
      </c>
      <c r="U4" s="366" t="s">
        <v>927</v>
      </c>
    </row>
    <row r="5" spans="1:21" s="259" customFormat="1" ht="19.5" customHeight="1" thickBot="1">
      <c r="A5" s="147">
        <f>COUNT(A7:A342)</f>
        <v>333</v>
      </c>
      <c r="B5" s="253"/>
      <c r="C5" s="73" t="s">
        <v>1110</v>
      </c>
      <c r="D5" s="71"/>
      <c r="E5" s="147"/>
      <c r="F5" s="147"/>
      <c r="G5" s="147"/>
      <c r="H5" s="147"/>
      <c r="I5" s="147"/>
      <c r="J5" s="303"/>
      <c r="K5" s="209" t="s">
        <v>801</v>
      </c>
      <c r="L5" s="209" t="s">
        <v>802</v>
      </c>
      <c r="M5" s="147"/>
      <c r="N5" s="147"/>
      <c r="O5" s="147"/>
      <c r="P5" s="210"/>
      <c r="Q5" s="147"/>
      <c r="R5" s="147"/>
      <c r="S5" s="211"/>
      <c r="T5" s="251"/>
      <c r="U5" s="212"/>
    </row>
    <row r="6" spans="1:21" s="42" customFormat="1" ht="22.5" customHeight="1">
      <c r="A6" s="367" t="s">
        <v>16</v>
      </c>
      <c r="B6" s="368"/>
      <c r="C6" s="369"/>
      <c r="D6" s="369"/>
      <c r="E6" s="368"/>
      <c r="F6" s="368"/>
      <c r="G6" s="370"/>
      <c r="H6" s="368"/>
      <c r="I6" s="368"/>
      <c r="J6" s="371"/>
      <c r="K6" s="372"/>
      <c r="L6" s="372"/>
      <c r="M6" s="368"/>
      <c r="N6" s="368"/>
      <c r="O6" s="368"/>
      <c r="P6" s="368"/>
      <c r="Q6" s="368"/>
      <c r="R6" s="368"/>
      <c r="S6" s="368"/>
      <c r="T6" s="368"/>
      <c r="U6" s="373"/>
    </row>
    <row r="7" spans="1:21" s="47" customFormat="1" ht="21.75" customHeight="1">
      <c r="A7" s="213">
        <v>1</v>
      </c>
      <c r="B7" s="214" t="s">
        <v>17</v>
      </c>
      <c r="C7" s="353" t="s">
        <v>18</v>
      </c>
      <c r="D7" s="280" t="s">
        <v>19</v>
      </c>
      <c r="E7" s="150" t="s">
        <v>20</v>
      </c>
      <c r="F7" s="150"/>
      <c r="G7" s="215">
        <v>25</v>
      </c>
      <c r="H7" s="216">
        <v>1000</v>
      </c>
      <c r="I7" s="217">
        <v>7</v>
      </c>
      <c r="J7" s="305" t="s">
        <v>21</v>
      </c>
      <c r="K7" s="218">
        <v>1</v>
      </c>
      <c r="L7" s="218">
        <v>0</v>
      </c>
      <c r="M7" s="425">
        <f aca="true" t="shared" si="0" ref="M7:M19">G7*H7/5</f>
        <v>5000</v>
      </c>
      <c r="N7" s="426">
        <f aca="true" t="shared" si="1" ref="N7:N14">M7*0.15*5.5</f>
        <v>4125</v>
      </c>
      <c r="O7" s="426">
        <f>M7*7.7*5.5+N7*2</f>
        <v>220000</v>
      </c>
      <c r="P7" s="215">
        <v>1</v>
      </c>
      <c r="Q7" s="216">
        <v>1</v>
      </c>
      <c r="R7" s="162">
        <f aca="true" t="shared" si="2" ref="R7:R37">90*$R$2</f>
        <v>2025000</v>
      </c>
      <c r="S7" s="162">
        <f aca="true" t="shared" si="3" ref="S7:S38">R7*Q7*P7*K7</f>
        <v>2025000</v>
      </c>
      <c r="T7" s="161">
        <f aca="true" t="shared" si="4" ref="T7:T38">L7*P7*Q7*R7</f>
        <v>0</v>
      </c>
      <c r="U7" s="153">
        <f aca="true" t="shared" si="5" ref="U7:U51">S7+T7</f>
        <v>2025000</v>
      </c>
    </row>
    <row r="8" spans="1:21" s="47" customFormat="1" ht="21.75" customHeight="1">
      <c r="A8" s="213">
        <v>2</v>
      </c>
      <c r="B8" s="214" t="s">
        <v>17</v>
      </c>
      <c r="C8" s="352" t="s">
        <v>22</v>
      </c>
      <c r="D8" s="281" t="s">
        <v>23</v>
      </c>
      <c r="E8" s="150" t="s">
        <v>24</v>
      </c>
      <c r="F8" s="150"/>
      <c r="G8" s="215">
        <v>24</v>
      </c>
      <c r="H8" s="216">
        <v>1000</v>
      </c>
      <c r="I8" s="217">
        <v>3</v>
      </c>
      <c r="J8" s="304" t="s">
        <v>25</v>
      </c>
      <c r="K8" s="218">
        <v>1</v>
      </c>
      <c r="L8" s="218">
        <v>0</v>
      </c>
      <c r="M8" s="425">
        <f t="shared" si="0"/>
        <v>4800</v>
      </c>
      <c r="N8" s="426">
        <f t="shared" si="1"/>
        <v>3960</v>
      </c>
      <c r="O8" s="426">
        <f aca="true" t="shared" si="6" ref="O8:O38">M8*7.7*5.5+N8*2</f>
        <v>211200</v>
      </c>
      <c r="P8" s="215">
        <v>1</v>
      </c>
      <c r="Q8" s="216">
        <v>1</v>
      </c>
      <c r="R8" s="162">
        <f t="shared" si="2"/>
        <v>2025000</v>
      </c>
      <c r="S8" s="162">
        <f t="shared" si="3"/>
        <v>2025000</v>
      </c>
      <c r="T8" s="161">
        <f t="shared" si="4"/>
        <v>0</v>
      </c>
      <c r="U8" s="153">
        <f t="shared" si="5"/>
        <v>2025000</v>
      </c>
    </row>
    <row r="9" spans="1:21" s="47" customFormat="1" ht="21.75" customHeight="1">
      <c r="A9" s="213">
        <v>3</v>
      </c>
      <c r="B9" s="214" t="s">
        <v>17</v>
      </c>
      <c r="C9" s="352" t="s">
        <v>26</v>
      </c>
      <c r="D9" s="280" t="s">
        <v>27</v>
      </c>
      <c r="E9" s="150" t="s">
        <v>20</v>
      </c>
      <c r="F9" s="150"/>
      <c r="G9" s="161">
        <v>22</v>
      </c>
      <c r="H9" s="162">
        <v>500</v>
      </c>
      <c r="I9" s="153">
        <v>2</v>
      </c>
      <c r="J9" s="304" t="s">
        <v>25</v>
      </c>
      <c r="K9" s="218">
        <v>1</v>
      </c>
      <c r="L9" s="218">
        <v>0</v>
      </c>
      <c r="M9" s="425">
        <f t="shared" si="0"/>
        <v>2200</v>
      </c>
      <c r="N9" s="426">
        <f t="shared" si="1"/>
        <v>1815</v>
      </c>
      <c r="O9" s="426">
        <f t="shared" si="6"/>
        <v>96800</v>
      </c>
      <c r="P9" s="215">
        <v>1</v>
      </c>
      <c r="Q9" s="216">
        <v>1</v>
      </c>
      <c r="R9" s="162">
        <f>90*$R$2</f>
        <v>2025000</v>
      </c>
      <c r="S9" s="162">
        <f>R9*Q9*P9*K9</f>
        <v>2025000</v>
      </c>
      <c r="T9" s="161">
        <f t="shared" si="4"/>
        <v>0</v>
      </c>
      <c r="U9" s="153">
        <f t="shared" si="5"/>
        <v>2025000</v>
      </c>
    </row>
    <row r="10" spans="1:21" s="47" customFormat="1" ht="21.75" customHeight="1">
      <c r="A10" s="213">
        <v>4</v>
      </c>
      <c r="B10" s="214" t="s">
        <v>17</v>
      </c>
      <c r="C10" s="353" t="s">
        <v>89</v>
      </c>
      <c r="D10" s="280" t="s">
        <v>90</v>
      </c>
      <c r="E10" s="150" t="s">
        <v>91</v>
      </c>
      <c r="F10" s="150"/>
      <c r="G10" s="161">
        <v>15</v>
      </c>
      <c r="H10" s="162">
        <v>1250</v>
      </c>
      <c r="I10" s="153">
        <v>4</v>
      </c>
      <c r="J10" s="304" t="s">
        <v>77</v>
      </c>
      <c r="K10" s="218">
        <v>1</v>
      </c>
      <c r="L10" s="163">
        <v>0</v>
      </c>
      <c r="M10" s="425">
        <f t="shared" si="0"/>
        <v>3750</v>
      </c>
      <c r="N10" s="426">
        <f t="shared" si="1"/>
        <v>3093.75</v>
      </c>
      <c r="O10" s="426">
        <f t="shared" si="6"/>
        <v>165000</v>
      </c>
      <c r="P10" s="215">
        <v>1</v>
      </c>
      <c r="Q10" s="216">
        <v>1</v>
      </c>
      <c r="R10" s="162">
        <f t="shared" si="2"/>
        <v>2025000</v>
      </c>
      <c r="S10" s="162">
        <f t="shared" si="3"/>
        <v>2025000</v>
      </c>
      <c r="T10" s="161">
        <f t="shared" si="4"/>
        <v>0</v>
      </c>
      <c r="U10" s="153">
        <f t="shared" si="5"/>
        <v>2025000</v>
      </c>
    </row>
    <row r="11" spans="1:21" s="47" customFormat="1" ht="21.75" customHeight="1">
      <c r="A11" s="213">
        <v>5</v>
      </c>
      <c r="B11" s="214" t="s">
        <v>17</v>
      </c>
      <c r="C11" s="353" t="s">
        <v>92</v>
      </c>
      <c r="D11" s="280" t="s">
        <v>90</v>
      </c>
      <c r="E11" s="150" t="s">
        <v>91</v>
      </c>
      <c r="F11" s="150"/>
      <c r="G11" s="161">
        <v>15</v>
      </c>
      <c r="H11" s="162">
        <v>1250</v>
      </c>
      <c r="I11" s="153">
        <v>4</v>
      </c>
      <c r="J11" s="304" t="s">
        <v>77</v>
      </c>
      <c r="K11" s="218">
        <v>1</v>
      </c>
      <c r="L11" s="163">
        <v>0</v>
      </c>
      <c r="M11" s="425">
        <f t="shared" si="0"/>
        <v>3750</v>
      </c>
      <c r="N11" s="426">
        <f t="shared" si="1"/>
        <v>3093.75</v>
      </c>
      <c r="O11" s="426">
        <f t="shared" si="6"/>
        <v>165000</v>
      </c>
      <c r="P11" s="215">
        <v>1</v>
      </c>
      <c r="Q11" s="216">
        <v>1</v>
      </c>
      <c r="R11" s="162">
        <f t="shared" si="2"/>
        <v>2025000</v>
      </c>
      <c r="S11" s="162">
        <f t="shared" si="3"/>
        <v>2025000</v>
      </c>
      <c r="T11" s="161">
        <f t="shared" si="4"/>
        <v>0</v>
      </c>
      <c r="U11" s="153">
        <f t="shared" si="5"/>
        <v>2025000</v>
      </c>
    </row>
    <row r="12" spans="1:21" s="47" customFormat="1" ht="21.75" customHeight="1">
      <c r="A12" s="213">
        <v>6</v>
      </c>
      <c r="B12" s="214" t="s">
        <v>17</v>
      </c>
      <c r="C12" s="353" t="s">
        <v>28</v>
      </c>
      <c r="D12" s="280" t="s">
        <v>29</v>
      </c>
      <c r="E12" s="150" t="s">
        <v>338</v>
      </c>
      <c r="F12" s="150"/>
      <c r="G12" s="161">
        <v>11</v>
      </c>
      <c r="H12" s="162">
        <v>4500</v>
      </c>
      <c r="I12" s="217">
        <v>3</v>
      </c>
      <c r="J12" s="304" t="s">
        <v>21</v>
      </c>
      <c r="K12" s="218">
        <v>1</v>
      </c>
      <c r="L12" s="218">
        <v>0</v>
      </c>
      <c r="M12" s="425">
        <f t="shared" si="0"/>
        <v>9900</v>
      </c>
      <c r="N12" s="426">
        <f t="shared" si="1"/>
        <v>8167.5</v>
      </c>
      <c r="O12" s="426">
        <f t="shared" si="6"/>
        <v>435600</v>
      </c>
      <c r="P12" s="215">
        <v>1</v>
      </c>
      <c r="Q12" s="216">
        <v>1</v>
      </c>
      <c r="R12" s="162">
        <f t="shared" si="2"/>
        <v>2025000</v>
      </c>
      <c r="S12" s="162">
        <f t="shared" si="3"/>
        <v>2025000</v>
      </c>
      <c r="T12" s="161">
        <f t="shared" si="4"/>
        <v>0</v>
      </c>
      <c r="U12" s="153">
        <f t="shared" si="5"/>
        <v>2025000</v>
      </c>
    </row>
    <row r="13" spans="1:21" s="47" customFormat="1" ht="21.75" customHeight="1">
      <c r="A13" s="213">
        <v>7</v>
      </c>
      <c r="B13" s="214" t="s">
        <v>17</v>
      </c>
      <c r="C13" s="353" t="s">
        <v>31</v>
      </c>
      <c r="D13" s="280" t="s">
        <v>32</v>
      </c>
      <c r="E13" s="150" t="s">
        <v>338</v>
      </c>
      <c r="F13" s="150"/>
      <c r="G13" s="161">
        <v>11</v>
      </c>
      <c r="H13" s="162">
        <v>4500</v>
      </c>
      <c r="I13" s="217">
        <v>3</v>
      </c>
      <c r="J13" s="304" t="s">
        <v>21</v>
      </c>
      <c r="K13" s="218">
        <v>1</v>
      </c>
      <c r="L13" s="218">
        <v>0</v>
      </c>
      <c r="M13" s="425">
        <f t="shared" si="0"/>
        <v>9900</v>
      </c>
      <c r="N13" s="426">
        <f t="shared" si="1"/>
        <v>8167.5</v>
      </c>
      <c r="O13" s="426">
        <f t="shared" si="6"/>
        <v>435600</v>
      </c>
      <c r="P13" s="215">
        <v>1</v>
      </c>
      <c r="Q13" s="216">
        <v>1</v>
      </c>
      <c r="R13" s="162">
        <f t="shared" si="2"/>
        <v>2025000</v>
      </c>
      <c r="S13" s="162">
        <f t="shared" si="3"/>
        <v>2025000</v>
      </c>
      <c r="T13" s="161">
        <f t="shared" si="4"/>
        <v>0</v>
      </c>
      <c r="U13" s="153">
        <f t="shared" si="5"/>
        <v>2025000</v>
      </c>
    </row>
    <row r="14" spans="1:21" s="47" customFormat="1" ht="21.75" customHeight="1">
      <c r="A14" s="213">
        <v>8</v>
      </c>
      <c r="B14" s="214" t="s">
        <v>81</v>
      </c>
      <c r="C14" s="353" t="s">
        <v>1445</v>
      </c>
      <c r="D14" s="280" t="s">
        <v>35</v>
      </c>
      <c r="E14" s="150" t="s">
        <v>20</v>
      </c>
      <c r="F14" s="150" t="s">
        <v>1142</v>
      </c>
      <c r="G14" s="215">
        <v>22</v>
      </c>
      <c r="H14" s="216">
        <v>2000</v>
      </c>
      <c r="I14" s="217">
        <v>2</v>
      </c>
      <c r="J14" s="305" t="s">
        <v>40</v>
      </c>
      <c r="K14" s="218">
        <v>1</v>
      </c>
      <c r="L14" s="218">
        <v>0</v>
      </c>
      <c r="M14" s="425">
        <f t="shared" si="0"/>
        <v>8800</v>
      </c>
      <c r="N14" s="426">
        <f t="shared" si="1"/>
        <v>7260</v>
      </c>
      <c r="O14" s="426">
        <f t="shared" si="6"/>
        <v>387200</v>
      </c>
      <c r="P14" s="215">
        <v>1</v>
      </c>
      <c r="Q14" s="216">
        <v>1</v>
      </c>
      <c r="R14" s="162">
        <f t="shared" si="2"/>
        <v>2025000</v>
      </c>
      <c r="S14" s="162">
        <f t="shared" si="3"/>
        <v>2025000</v>
      </c>
      <c r="T14" s="161">
        <f t="shared" si="4"/>
        <v>0</v>
      </c>
      <c r="U14" s="153">
        <f t="shared" si="5"/>
        <v>2025000</v>
      </c>
    </row>
    <row r="15" spans="1:21" s="47" customFormat="1" ht="21.75" customHeight="1">
      <c r="A15" s="213">
        <v>9</v>
      </c>
      <c r="B15" s="214" t="s">
        <v>17</v>
      </c>
      <c r="C15" s="353" t="s">
        <v>36</v>
      </c>
      <c r="D15" s="280" t="s">
        <v>37</v>
      </c>
      <c r="E15" s="150" t="s">
        <v>338</v>
      </c>
      <c r="F15" s="150" t="s">
        <v>1143</v>
      </c>
      <c r="G15" s="215">
        <v>11</v>
      </c>
      <c r="H15" s="216">
        <v>3500</v>
      </c>
      <c r="I15" s="217">
        <v>6</v>
      </c>
      <c r="J15" s="305" t="s">
        <v>66</v>
      </c>
      <c r="K15" s="218">
        <v>1</v>
      </c>
      <c r="L15" s="218">
        <v>0</v>
      </c>
      <c r="M15" s="425">
        <f t="shared" si="0"/>
        <v>7700</v>
      </c>
      <c r="N15" s="426">
        <f>M15*0.15*7</f>
        <v>8085</v>
      </c>
      <c r="O15" s="426">
        <f>M15*7.7*7+N15*2</f>
        <v>431200</v>
      </c>
      <c r="P15" s="215">
        <v>1</v>
      </c>
      <c r="Q15" s="216">
        <v>1</v>
      </c>
      <c r="R15" s="162">
        <f t="shared" si="2"/>
        <v>2025000</v>
      </c>
      <c r="S15" s="162">
        <f t="shared" si="3"/>
        <v>2025000</v>
      </c>
      <c r="T15" s="161">
        <f t="shared" si="4"/>
        <v>0</v>
      </c>
      <c r="U15" s="153">
        <f t="shared" si="5"/>
        <v>2025000</v>
      </c>
    </row>
    <row r="16" spans="1:21" s="47" customFormat="1" ht="21.75" customHeight="1">
      <c r="A16" s="213">
        <v>10</v>
      </c>
      <c r="B16" s="214" t="s">
        <v>17</v>
      </c>
      <c r="C16" s="353" t="s">
        <v>38</v>
      </c>
      <c r="D16" s="280" t="s">
        <v>39</v>
      </c>
      <c r="E16" s="150" t="s">
        <v>338</v>
      </c>
      <c r="F16" s="150" t="s">
        <v>1143</v>
      </c>
      <c r="G16" s="215">
        <v>10</v>
      </c>
      <c r="H16" s="216">
        <v>2500</v>
      </c>
      <c r="I16" s="217">
        <v>3</v>
      </c>
      <c r="J16" s="305" t="s">
        <v>25</v>
      </c>
      <c r="K16" s="218">
        <v>1</v>
      </c>
      <c r="L16" s="218">
        <v>0</v>
      </c>
      <c r="M16" s="425">
        <f t="shared" si="0"/>
        <v>5000</v>
      </c>
      <c r="N16" s="426">
        <f>M16*0.15*5.5</f>
        <v>4125</v>
      </c>
      <c r="O16" s="426">
        <f t="shared" si="6"/>
        <v>220000</v>
      </c>
      <c r="P16" s="215">
        <v>1</v>
      </c>
      <c r="Q16" s="216">
        <v>1</v>
      </c>
      <c r="R16" s="162">
        <f t="shared" si="2"/>
        <v>2025000</v>
      </c>
      <c r="S16" s="162">
        <f t="shared" si="3"/>
        <v>2025000</v>
      </c>
      <c r="T16" s="161">
        <f t="shared" si="4"/>
        <v>0</v>
      </c>
      <c r="U16" s="153">
        <f t="shared" si="5"/>
        <v>2025000</v>
      </c>
    </row>
    <row r="17" spans="1:21" s="47" customFormat="1" ht="21.75" customHeight="1">
      <c r="A17" s="213">
        <v>11</v>
      </c>
      <c r="B17" s="214" t="s">
        <v>17</v>
      </c>
      <c r="C17" s="353" t="s">
        <v>41</v>
      </c>
      <c r="D17" s="280" t="s">
        <v>42</v>
      </c>
      <c r="E17" s="150" t="s">
        <v>20</v>
      </c>
      <c r="F17" s="150"/>
      <c r="G17" s="161">
        <v>22</v>
      </c>
      <c r="H17" s="162">
        <v>1700</v>
      </c>
      <c r="I17" s="217">
        <v>6</v>
      </c>
      <c r="J17" s="304" t="s">
        <v>21</v>
      </c>
      <c r="K17" s="218">
        <v>1</v>
      </c>
      <c r="L17" s="218">
        <v>0</v>
      </c>
      <c r="M17" s="425">
        <f t="shared" si="0"/>
        <v>7480</v>
      </c>
      <c r="N17" s="426">
        <f>M17*0.15*5.5</f>
        <v>6171</v>
      </c>
      <c r="O17" s="426">
        <f t="shared" si="6"/>
        <v>329120</v>
      </c>
      <c r="P17" s="215">
        <v>1</v>
      </c>
      <c r="Q17" s="216">
        <v>1</v>
      </c>
      <c r="R17" s="162">
        <f t="shared" si="2"/>
        <v>2025000</v>
      </c>
      <c r="S17" s="162">
        <f t="shared" si="3"/>
        <v>2025000</v>
      </c>
      <c r="T17" s="161">
        <f t="shared" si="4"/>
        <v>0</v>
      </c>
      <c r="U17" s="153">
        <f t="shared" si="5"/>
        <v>2025000</v>
      </c>
    </row>
    <row r="18" spans="1:21" s="47" customFormat="1" ht="21.75" customHeight="1">
      <c r="A18" s="213">
        <v>12</v>
      </c>
      <c r="B18" s="214" t="s">
        <v>17</v>
      </c>
      <c r="C18" s="353" t="s">
        <v>44</v>
      </c>
      <c r="D18" s="280" t="s">
        <v>45</v>
      </c>
      <c r="E18" s="150" t="s">
        <v>20</v>
      </c>
      <c r="F18" s="150"/>
      <c r="G18" s="215">
        <v>20</v>
      </c>
      <c r="H18" s="216">
        <v>1000</v>
      </c>
      <c r="I18" s="217">
        <v>3</v>
      </c>
      <c r="J18" s="305" t="s">
        <v>40</v>
      </c>
      <c r="K18" s="218">
        <v>1</v>
      </c>
      <c r="L18" s="218">
        <v>0</v>
      </c>
      <c r="M18" s="425">
        <f t="shared" si="0"/>
        <v>4000</v>
      </c>
      <c r="N18" s="426">
        <f>M18*0.15*5.5</f>
        <v>3300</v>
      </c>
      <c r="O18" s="426">
        <f t="shared" si="6"/>
        <v>176000</v>
      </c>
      <c r="P18" s="215">
        <v>1</v>
      </c>
      <c r="Q18" s="216">
        <v>1</v>
      </c>
      <c r="R18" s="162">
        <f t="shared" si="2"/>
        <v>2025000</v>
      </c>
      <c r="S18" s="162">
        <f t="shared" si="3"/>
        <v>2025000</v>
      </c>
      <c r="T18" s="161">
        <f t="shared" si="4"/>
        <v>0</v>
      </c>
      <c r="U18" s="153">
        <f t="shared" si="5"/>
        <v>2025000</v>
      </c>
    </row>
    <row r="19" spans="1:21" s="47" customFormat="1" ht="21.75" customHeight="1">
      <c r="A19" s="213">
        <v>13</v>
      </c>
      <c r="B19" s="214" t="s">
        <v>46</v>
      </c>
      <c r="C19" s="353" t="s">
        <v>47</v>
      </c>
      <c r="D19" s="280" t="s">
        <v>48</v>
      </c>
      <c r="E19" s="150" t="s">
        <v>49</v>
      </c>
      <c r="F19" s="150"/>
      <c r="G19" s="161">
        <v>30</v>
      </c>
      <c r="H19" s="162">
        <v>2000</v>
      </c>
      <c r="I19" s="217">
        <v>3</v>
      </c>
      <c r="J19" s="304" t="s">
        <v>21</v>
      </c>
      <c r="K19" s="218">
        <v>1</v>
      </c>
      <c r="L19" s="218">
        <v>0</v>
      </c>
      <c r="M19" s="425">
        <f t="shared" si="0"/>
        <v>12000</v>
      </c>
      <c r="N19" s="426">
        <f>M19*0.15*5.5</f>
        <v>9900</v>
      </c>
      <c r="O19" s="426">
        <f t="shared" si="6"/>
        <v>528000</v>
      </c>
      <c r="P19" s="215">
        <v>1</v>
      </c>
      <c r="Q19" s="216">
        <v>1</v>
      </c>
      <c r="R19" s="162">
        <f t="shared" si="2"/>
        <v>2025000</v>
      </c>
      <c r="S19" s="162">
        <f t="shared" si="3"/>
        <v>2025000</v>
      </c>
      <c r="T19" s="161">
        <f t="shared" si="4"/>
        <v>0</v>
      </c>
      <c r="U19" s="153">
        <f t="shared" si="5"/>
        <v>2025000</v>
      </c>
    </row>
    <row r="20" spans="1:21" s="47" customFormat="1" ht="21.75" customHeight="1">
      <c r="A20" s="213">
        <v>14</v>
      </c>
      <c r="B20" s="214" t="s">
        <v>46</v>
      </c>
      <c r="C20" s="353" t="s">
        <v>51</v>
      </c>
      <c r="D20" s="280" t="s">
        <v>52</v>
      </c>
      <c r="E20" s="150" t="s">
        <v>49</v>
      </c>
      <c r="F20" s="150"/>
      <c r="G20" s="161">
        <v>30</v>
      </c>
      <c r="H20" s="162">
        <v>2000</v>
      </c>
      <c r="I20" s="217">
        <v>3</v>
      </c>
      <c r="J20" s="304" t="s">
        <v>21</v>
      </c>
      <c r="K20" s="218">
        <v>1</v>
      </c>
      <c r="L20" s="218">
        <v>0</v>
      </c>
      <c r="M20" s="425">
        <f>G20*H20*5/100</f>
        <v>3000</v>
      </c>
      <c r="N20" s="426">
        <f>M20*0.15*7</f>
        <v>3150</v>
      </c>
      <c r="O20" s="426">
        <f>M20*7.7*7+N20*2</f>
        <v>168000</v>
      </c>
      <c r="P20" s="215">
        <v>1</v>
      </c>
      <c r="Q20" s="216">
        <v>1</v>
      </c>
      <c r="R20" s="162">
        <f t="shared" si="2"/>
        <v>2025000</v>
      </c>
      <c r="S20" s="162">
        <f t="shared" si="3"/>
        <v>2025000</v>
      </c>
      <c r="T20" s="161">
        <f t="shared" si="4"/>
        <v>0</v>
      </c>
      <c r="U20" s="153">
        <f t="shared" si="5"/>
        <v>2025000</v>
      </c>
    </row>
    <row r="21" spans="1:21" s="47" customFormat="1" ht="21.75" customHeight="1">
      <c r="A21" s="213">
        <v>15</v>
      </c>
      <c r="B21" s="214" t="s">
        <v>46</v>
      </c>
      <c r="C21" s="393" t="s">
        <v>53</v>
      </c>
      <c r="D21" s="282" t="s">
        <v>54</v>
      </c>
      <c r="E21" s="150" t="s">
        <v>20</v>
      </c>
      <c r="F21" s="150" t="s">
        <v>1113</v>
      </c>
      <c r="G21" s="161">
        <v>18</v>
      </c>
      <c r="H21" s="162">
        <v>1000</v>
      </c>
      <c r="I21" s="217">
        <v>2</v>
      </c>
      <c r="J21" s="304" t="s">
        <v>43</v>
      </c>
      <c r="K21" s="218">
        <v>1</v>
      </c>
      <c r="L21" s="218">
        <v>0</v>
      </c>
      <c r="M21" s="425">
        <f>G21*H21*5/100</f>
        <v>900</v>
      </c>
      <c r="N21" s="426">
        <f>M21*0.15*7</f>
        <v>945</v>
      </c>
      <c r="O21" s="426">
        <f>M21*7.7*7+N21*2</f>
        <v>50400</v>
      </c>
      <c r="P21" s="215">
        <v>1</v>
      </c>
      <c r="Q21" s="216">
        <v>1</v>
      </c>
      <c r="R21" s="162">
        <f t="shared" si="2"/>
        <v>2025000</v>
      </c>
      <c r="S21" s="162">
        <f t="shared" si="3"/>
        <v>2025000</v>
      </c>
      <c r="T21" s="161">
        <f t="shared" si="4"/>
        <v>0</v>
      </c>
      <c r="U21" s="153">
        <f t="shared" si="5"/>
        <v>2025000</v>
      </c>
    </row>
    <row r="22" spans="1:21" s="47" customFormat="1" ht="21.75" customHeight="1">
      <c r="A22" s="213">
        <v>16</v>
      </c>
      <c r="B22" s="214" t="s">
        <v>46</v>
      </c>
      <c r="C22" s="393" t="s">
        <v>55</v>
      </c>
      <c r="D22" s="282" t="s">
        <v>56</v>
      </c>
      <c r="E22" s="150" t="s">
        <v>20</v>
      </c>
      <c r="F22" s="150" t="s">
        <v>1113</v>
      </c>
      <c r="G22" s="161">
        <v>18</v>
      </c>
      <c r="H22" s="162">
        <v>1000</v>
      </c>
      <c r="I22" s="217">
        <v>2</v>
      </c>
      <c r="J22" s="304" t="s">
        <v>43</v>
      </c>
      <c r="K22" s="218">
        <v>1</v>
      </c>
      <c r="L22" s="218">
        <v>0</v>
      </c>
      <c r="M22" s="425">
        <f>G22*H22*5/100</f>
        <v>900</v>
      </c>
      <c r="N22" s="426">
        <f>M22*0.15*7</f>
        <v>945</v>
      </c>
      <c r="O22" s="426">
        <f>M22*7.7*7+N22*2</f>
        <v>50400</v>
      </c>
      <c r="P22" s="215">
        <v>1</v>
      </c>
      <c r="Q22" s="216">
        <v>1</v>
      </c>
      <c r="R22" s="162">
        <f t="shared" si="2"/>
        <v>2025000</v>
      </c>
      <c r="S22" s="162">
        <f t="shared" si="3"/>
        <v>2025000</v>
      </c>
      <c r="T22" s="161">
        <f t="shared" si="4"/>
        <v>0</v>
      </c>
      <c r="U22" s="153">
        <f t="shared" si="5"/>
        <v>2025000</v>
      </c>
    </row>
    <row r="23" spans="1:21" s="47" customFormat="1" ht="21.75" customHeight="1">
      <c r="A23" s="213">
        <v>17</v>
      </c>
      <c r="B23" s="214" t="s">
        <v>17</v>
      </c>
      <c r="C23" s="352" t="s">
        <v>57</v>
      </c>
      <c r="D23" s="280" t="s">
        <v>56</v>
      </c>
      <c r="E23" s="150" t="s">
        <v>20</v>
      </c>
      <c r="F23" s="150" t="s">
        <v>1113</v>
      </c>
      <c r="G23" s="161">
        <v>18</v>
      </c>
      <c r="H23" s="162">
        <v>1000</v>
      </c>
      <c r="I23" s="217">
        <v>4</v>
      </c>
      <c r="J23" s="304" t="s">
        <v>62</v>
      </c>
      <c r="K23" s="218">
        <v>1</v>
      </c>
      <c r="L23" s="218">
        <v>0</v>
      </c>
      <c r="M23" s="425">
        <f>G23*H23*5/100</f>
        <v>900</v>
      </c>
      <c r="N23" s="426">
        <f>M23*0.15*7</f>
        <v>945</v>
      </c>
      <c r="O23" s="426">
        <f>M23*7.7*7+N23*2</f>
        <v>50400</v>
      </c>
      <c r="P23" s="215">
        <v>1</v>
      </c>
      <c r="Q23" s="216">
        <v>1</v>
      </c>
      <c r="R23" s="162">
        <f t="shared" si="2"/>
        <v>2025000</v>
      </c>
      <c r="S23" s="162">
        <f t="shared" si="3"/>
        <v>2025000</v>
      </c>
      <c r="T23" s="161">
        <f t="shared" si="4"/>
        <v>0</v>
      </c>
      <c r="U23" s="153">
        <f t="shared" si="5"/>
        <v>2025000</v>
      </c>
    </row>
    <row r="24" spans="1:21" s="47" customFormat="1" ht="21.75" customHeight="1">
      <c r="A24" s="213">
        <v>18</v>
      </c>
      <c r="B24" s="214" t="s">
        <v>17</v>
      </c>
      <c r="C24" s="352" t="s">
        <v>58</v>
      </c>
      <c r="D24" s="281" t="s">
        <v>59</v>
      </c>
      <c r="E24" s="150" t="s">
        <v>20</v>
      </c>
      <c r="F24" s="150" t="s">
        <v>1144</v>
      </c>
      <c r="G24" s="215">
        <v>29</v>
      </c>
      <c r="H24" s="216">
        <v>1000</v>
      </c>
      <c r="I24" s="217">
        <v>6</v>
      </c>
      <c r="J24" s="304" t="s">
        <v>21</v>
      </c>
      <c r="K24" s="218">
        <v>1</v>
      </c>
      <c r="L24" s="218">
        <v>0</v>
      </c>
      <c r="M24" s="425">
        <f aca="true" t="shared" si="7" ref="M24:M35">G24*H24/5</f>
        <v>5800</v>
      </c>
      <c r="N24" s="426">
        <f>M24*0.15*5.5</f>
        <v>4785</v>
      </c>
      <c r="O24" s="426">
        <f t="shared" si="6"/>
        <v>255200</v>
      </c>
      <c r="P24" s="215">
        <v>1</v>
      </c>
      <c r="Q24" s="216">
        <v>1</v>
      </c>
      <c r="R24" s="162">
        <f t="shared" si="2"/>
        <v>2025000</v>
      </c>
      <c r="S24" s="162">
        <f t="shared" si="3"/>
        <v>2025000</v>
      </c>
      <c r="T24" s="161">
        <f t="shared" si="4"/>
        <v>0</v>
      </c>
      <c r="U24" s="153">
        <f t="shared" si="5"/>
        <v>2025000</v>
      </c>
    </row>
    <row r="25" spans="1:21" s="47" customFormat="1" ht="21.75" customHeight="1">
      <c r="A25" s="213">
        <v>19</v>
      </c>
      <c r="B25" s="214" t="s">
        <v>17</v>
      </c>
      <c r="C25" s="353" t="s">
        <v>60</v>
      </c>
      <c r="D25" s="280" t="s">
        <v>61</v>
      </c>
      <c r="E25" s="150" t="s">
        <v>20</v>
      </c>
      <c r="F25" s="150"/>
      <c r="G25" s="215">
        <v>21</v>
      </c>
      <c r="H25" s="216">
        <v>1500</v>
      </c>
      <c r="I25" s="217">
        <v>6</v>
      </c>
      <c r="J25" s="304" t="s">
        <v>30</v>
      </c>
      <c r="K25" s="218">
        <v>1</v>
      </c>
      <c r="L25" s="218">
        <v>0</v>
      </c>
      <c r="M25" s="425">
        <f t="shared" si="7"/>
        <v>6300</v>
      </c>
      <c r="N25" s="426">
        <f>M25*0.15*5.5</f>
        <v>5197.5</v>
      </c>
      <c r="O25" s="426">
        <f t="shared" si="6"/>
        <v>277200</v>
      </c>
      <c r="P25" s="215">
        <v>1</v>
      </c>
      <c r="Q25" s="216">
        <v>1</v>
      </c>
      <c r="R25" s="162">
        <f t="shared" si="2"/>
        <v>2025000</v>
      </c>
      <c r="S25" s="162">
        <f t="shared" si="3"/>
        <v>2025000</v>
      </c>
      <c r="T25" s="161">
        <f t="shared" si="4"/>
        <v>0</v>
      </c>
      <c r="U25" s="153">
        <f t="shared" si="5"/>
        <v>2025000</v>
      </c>
    </row>
    <row r="26" spans="1:21" s="47" customFormat="1" ht="21.75" customHeight="1">
      <c r="A26" s="213">
        <v>20</v>
      </c>
      <c r="B26" s="214" t="s">
        <v>34</v>
      </c>
      <c r="C26" s="352" t="s">
        <v>63</v>
      </c>
      <c r="D26" s="280" t="s">
        <v>64</v>
      </c>
      <c r="E26" s="150" t="s">
        <v>20</v>
      </c>
      <c r="F26" s="150"/>
      <c r="G26" s="161">
        <v>5</v>
      </c>
      <c r="H26" s="162">
        <v>2500</v>
      </c>
      <c r="I26" s="153">
        <v>2</v>
      </c>
      <c r="J26" s="304" t="s">
        <v>40</v>
      </c>
      <c r="K26" s="218">
        <v>1</v>
      </c>
      <c r="L26" s="218">
        <v>0</v>
      </c>
      <c r="M26" s="425">
        <f t="shared" si="7"/>
        <v>2500</v>
      </c>
      <c r="N26" s="426">
        <f>M26*0.15*5.5</f>
        <v>2062.5</v>
      </c>
      <c r="O26" s="426">
        <f t="shared" si="6"/>
        <v>110000</v>
      </c>
      <c r="P26" s="215">
        <v>1</v>
      </c>
      <c r="Q26" s="216">
        <v>1</v>
      </c>
      <c r="R26" s="162">
        <f t="shared" si="2"/>
        <v>2025000</v>
      </c>
      <c r="S26" s="162">
        <f t="shared" si="3"/>
        <v>2025000</v>
      </c>
      <c r="T26" s="161">
        <f t="shared" si="4"/>
        <v>0</v>
      </c>
      <c r="U26" s="153">
        <f t="shared" si="5"/>
        <v>2025000</v>
      </c>
    </row>
    <row r="27" spans="1:21" s="47" customFormat="1" ht="21.75" customHeight="1">
      <c r="A27" s="213">
        <v>21</v>
      </c>
      <c r="B27" s="214" t="s">
        <v>34</v>
      </c>
      <c r="C27" s="353" t="s">
        <v>65</v>
      </c>
      <c r="D27" s="280" t="s">
        <v>48</v>
      </c>
      <c r="E27" s="150" t="s">
        <v>49</v>
      </c>
      <c r="F27" s="150"/>
      <c r="G27" s="161">
        <v>7</v>
      </c>
      <c r="H27" s="162">
        <v>6000</v>
      </c>
      <c r="I27" s="153">
        <v>4</v>
      </c>
      <c r="J27" s="304" t="s">
        <v>66</v>
      </c>
      <c r="K27" s="218">
        <v>1</v>
      </c>
      <c r="L27" s="218">
        <v>0</v>
      </c>
      <c r="M27" s="425">
        <f t="shared" si="7"/>
        <v>8400</v>
      </c>
      <c r="N27" s="426">
        <f>M27*0.15*7</f>
        <v>8820</v>
      </c>
      <c r="O27" s="426">
        <f>M27*7.7*7+N27*2</f>
        <v>470400</v>
      </c>
      <c r="P27" s="215">
        <v>1</v>
      </c>
      <c r="Q27" s="216">
        <v>1</v>
      </c>
      <c r="R27" s="162">
        <f t="shared" si="2"/>
        <v>2025000</v>
      </c>
      <c r="S27" s="162">
        <f t="shared" si="3"/>
        <v>2025000</v>
      </c>
      <c r="T27" s="161">
        <f t="shared" si="4"/>
        <v>0</v>
      </c>
      <c r="U27" s="153">
        <f t="shared" si="5"/>
        <v>2025000</v>
      </c>
    </row>
    <row r="28" spans="1:21" s="47" customFormat="1" ht="21.75" customHeight="1">
      <c r="A28" s="213">
        <v>22</v>
      </c>
      <c r="B28" s="214" t="s">
        <v>17</v>
      </c>
      <c r="C28" s="352" t="s">
        <v>67</v>
      </c>
      <c r="D28" s="281" t="s">
        <v>68</v>
      </c>
      <c r="E28" s="150" t="s">
        <v>338</v>
      </c>
      <c r="F28" s="150"/>
      <c r="G28" s="215">
        <v>17</v>
      </c>
      <c r="H28" s="216">
        <v>1000</v>
      </c>
      <c r="I28" s="217">
        <v>5</v>
      </c>
      <c r="J28" s="304" t="s">
        <v>25</v>
      </c>
      <c r="K28" s="218">
        <v>1</v>
      </c>
      <c r="L28" s="218">
        <v>0</v>
      </c>
      <c r="M28" s="425">
        <f t="shared" si="7"/>
        <v>3400</v>
      </c>
      <c r="N28" s="426">
        <f>M28*0.15*7</f>
        <v>3570</v>
      </c>
      <c r="O28" s="426">
        <f>M28*7.7*7+N28*2</f>
        <v>190400</v>
      </c>
      <c r="P28" s="215">
        <v>1</v>
      </c>
      <c r="Q28" s="216">
        <v>1</v>
      </c>
      <c r="R28" s="162">
        <f t="shared" si="2"/>
        <v>2025000</v>
      </c>
      <c r="S28" s="162">
        <f t="shared" si="3"/>
        <v>2025000</v>
      </c>
      <c r="T28" s="161">
        <f t="shared" si="4"/>
        <v>0</v>
      </c>
      <c r="U28" s="153">
        <f t="shared" si="5"/>
        <v>2025000</v>
      </c>
    </row>
    <row r="29" spans="1:21" s="47" customFormat="1" ht="21.75" customHeight="1">
      <c r="A29" s="213">
        <v>23</v>
      </c>
      <c r="B29" s="214" t="s">
        <v>34</v>
      </c>
      <c r="C29" s="352" t="s">
        <v>69</v>
      </c>
      <c r="D29" s="281" t="s">
        <v>68</v>
      </c>
      <c r="E29" s="150" t="s">
        <v>338</v>
      </c>
      <c r="F29" s="150"/>
      <c r="G29" s="215">
        <v>7</v>
      </c>
      <c r="H29" s="216">
        <v>1000</v>
      </c>
      <c r="I29" s="217">
        <v>5</v>
      </c>
      <c r="J29" s="304" t="s">
        <v>25</v>
      </c>
      <c r="K29" s="218">
        <v>1</v>
      </c>
      <c r="L29" s="218">
        <v>0</v>
      </c>
      <c r="M29" s="425">
        <f t="shared" si="7"/>
        <v>1400</v>
      </c>
      <c r="N29" s="426">
        <f>M29*0.15*5.5</f>
        <v>1155</v>
      </c>
      <c r="O29" s="426">
        <f t="shared" si="6"/>
        <v>61600</v>
      </c>
      <c r="P29" s="215">
        <v>1</v>
      </c>
      <c r="Q29" s="216">
        <v>1</v>
      </c>
      <c r="R29" s="162">
        <f t="shared" si="2"/>
        <v>2025000</v>
      </c>
      <c r="S29" s="162">
        <f t="shared" si="3"/>
        <v>2025000</v>
      </c>
      <c r="T29" s="161">
        <f t="shared" si="4"/>
        <v>0</v>
      </c>
      <c r="U29" s="153">
        <f t="shared" si="5"/>
        <v>2025000</v>
      </c>
    </row>
    <row r="30" spans="1:21" s="47" customFormat="1" ht="21.75" customHeight="1">
      <c r="A30" s="213">
        <v>24</v>
      </c>
      <c r="B30" s="214" t="s">
        <v>17</v>
      </c>
      <c r="C30" s="352" t="s">
        <v>1446</v>
      </c>
      <c r="D30" s="280" t="s">
        <v>70</v>
      </c>
      <c r="E30" s="150" t="s">
        <v>20</v>
      </c>
      <c r="F30" s="150" t="s">
        <v>1114</v>
      </c>
      <c r="G30" s="161">
        <v>13</v>
      </c>
      <c r="H30" s="162">
        <v>600</v>
      </c>
      <c r="I30" s="153">
        <v>4</v>
      </c>
      <c r="J30" s="304" t="s">
        <v>62</v>
      </c>
      <c r="K30" s="218">
        <v>1</v>
      </c>
      <c r="L30" s="218">
        <v>0</v>
      </c>
      <c r="M30" s="425">
        <f t="shared" si="7"/>
        <v>1560</v>
      </c>
      <c r="N30" s="426">
        <f>M30*0.15*7</f>
        <v>1638</v>
      </c>
      <c r="O30" s="426">
        <f>M30*7.7*7+N30*2</f>
        <v>87360</v>
      </c>
      <c r="P30" s="215">
        <v>1</v>
      </c>
      <c r="Q30" s="216">
        <v>1</v>
      </c>
      <c r="R30" s="162">
        <f t="shared" si="2"/>
        <v>2025000</v>
      </c>
      <c r="S30" s="162">
        <f t="shared" si="3"/>
        <v>2025000</v>
      </c>
      <c r="T30" s="161">
        <f t="shared" si="4"/>
        <v>0</v>
      </c>
      <c r="U30" s="153">
        <f t="shared" si="5"/>
        <v>2025000</v>
      </c>
    </row>
    <row r="31" spans="1:21" s="47" customFormat="1" ht="21.75" customHeight="1">
      <c r="A31" s="213">
        <v>25</v>
      </c>
      <c r="B31" s="214" t="s">
        <v>17</v>
      </c>
      <c r="C31" s="352" t="s">
        <v>84</v>
      </c>
      <c r="D31" s="280" t="s">
        <v>85</v>
      </c>
      <c r="E31" s="150" t="s">
        <v>20</v>
      </c>
      <c r="F31" s="150"/>
      <c r="G31" s="161">
        <v>16</v>
      </c>
      <c r="H31" s="162">
        <v>1500</v>
      </c>
      <c r="I31" s="153">
        <v>4</v>
      </c>
      <c r="J31" s="304" t="s">
        <v>21</v>
      </c>
      <c r="K31" s="218">
        <v>1</v>
      </c>
      <c r="L31" s="163">
        <v>0</v>
      </c>
      <c r="M31" s="425">
        <f t="shared" si="7"/>
        <v>4800</v>
      </c>
      <c r="N31" s="426">
        <f>M31*0.15*5.5</f>
        <v>3960</v>
      </c>
      <c r="O31" s="426">
        <f t="shared" si="6"/>
        <v>211200</v>
      </c>
      <c r="P31" s="215">
        <v>1</v>
      </c>
      <c r="Q31" s="216">
        <v>1</v>
      </c>
      <c r="R31" s="162">
        <f t="shared" si="2"/>
        <v>2025000</v>
      </c>
      <c r="S31" s="162">
        <f t="shared" si="3"/>
        <v>2025000</v>
      </c>
      <c r="T31" s="161">
        <f t="shared" si="4"/>
        <v>0</v>
      </c>
      <c r="U31" s="153">
        <f t="shared" si="5"/>
        <v>2025000</v>
      </c>
    </row>
    <row r="32" spans="1:21" s="47" customFormat="1" ht="21.75" customHeight="1">
      <c r="A32" s="213">
        <v>26</v>
      </c>
      <c r="B32" s="214" t="s">
        <v>17</v>
      </c>
      <c r="C32" s="353" t="s">
        <v>71</v>
      </c>
      <c r="D32" s="280" t="s">
        <v>72</v>
      </c>
      <c r="E32" s="150" t="s">
        <v>20</v>
      </c>
      <c r="F32" s="150" t="s">
        <v>1145</v>
      </c>
      <c r="G32" s="215">
        <v>14</v>
      </c>
      <c r="H32" s="216">
        <v>800</v>
      </c>
      <c r="I32" s="217">
        <v>3</v>
      </c>
      <c r="J32" s="305" t="s">
        <v>21</v>
      </c>
      <c r="K32" s="218">
        <v>1</v>
      </c>
      <c r="L32" s="218">
        <v>0</v>
      </c>
      <c r="M32" s="425">
        <f t="shared" si="7"/>
        <v>2240</v>
      </c>
      <c r="N32" s="426">
        <f>M32*0.15*5.5</f>
        <v>1848</v>
      </c>
      <c r="O32" s="426">
        <f t="shared" si="6"/>
        <v>98560</v>
      </c>
      <c r="P32" s="215">
        <v>1</v>
      </c>
      <c r="Q32" s="216">
        <v>1</v>
      </c>
      <c r="R32" s="162">
        <f t="shared" si="2"/>
        <v>2025000</v>
      </c>
      <c r="S32" s="162">
        <f t="shared" si="3"/>
        <v>2025000</v>
      </c>
      <c r="T32" s="161">
        <f t="shared" si="4"/>
        <v>0</v>
      </c>
      <c r="U32" s="153">
        <f t="shared" si="5"/>
        <v>2025000</v>
      </c>
    </row>
    <row r="33" spans="1:21" s="47" customFormat="1" ht="21.75" customHeight="1">
      <c r="A33" s="213">
        <v>27</v>
      </c>
      <c r="B33" s="214" t="s">
        <v>17</v>
      </c>
      <c r="C33" s="353" t="s">
        <v>73</v>
      </c>
      <c r="D33" s="280" t="s">
        <v>74</v>
      </c>
      <c r="E33" s="150" t="s">
        <v>20</v>
      </c>
      <c r="F33" s="150"/>
      <c r="G33" s="215">
        <v>23</v>
      </c>
      <c r="H33" s="162">
        <v>1200</v>
      </c>
      <c r="I33" s="217">
        <v>5</v>
      </c>
      <c r="J33" s="305" t="s">
        <v>21</v>
      </c>
      <c r="K33" s="218">
        <v>1</v>
      </c>
      <c r="L33" s="218">
        <v>0</v>
      </c>
      <c r="M33" s="425">
        <f t="shared" si="7"/>
        <v>5520</v>
      </c>
      <c r="N33" s="426">
        <f>M33*0.15*5.5</f>
        <v>4554</v>
      </c>
      <c r="O33" s="426">
        <f t="shared" si="6"/>
        <v>242880</v>
      </c>
      <c r="P33" s="215">
        <v>1</v>
      </c>
      <c r="Q33" s="216">
        <v>1</v>
      </c>
      <c r="R33" s="162">
        <f t="shared" si="2"/>
        <v>2025000</v>
      </c>
      <c r="S33" s="162">
        <f t="shared" si="3"/>
        <v>2025000</v>
      </c>
      <c r="T33" s="161">
        <f t="shared" si="4"/>
        <v>0</v>
      </c>
      <c r="U33" s="153">
        <f t="shared" si="5"/>
        <v>2025000</v>
      </c>
    </row>
    <row r="34" spans="1:21" s="47" customFormat="1" ht="21.75" customHeight="1">
      <c r="A34" s="213">
        <v>28</v>
      </c>
      <c r="B34" s="214" t="s">
        <v>17</v>
      </c>
      <c r="C34" s="353" t="s">
        <v>75</v>
      </c>
      <c r="D34" s="280" t="s">
        <v>76</v>
      </c>
      <c r="E34" s="150" t="s">
        <v>338</v>
      </c>
      <c r="F34" s="150"/>
      <c r="G34" s="161">
        <v>10</v>
      </c>
      <c r="H34" s="162">
        <v>1740</v>
      </c>
      <c r="I34" s="153">
        <v>4</v>
      </c>
      <c r="J34" s="304" t="s">
        <v>43</v>
      </c>
      <c r="K34" s="218">
        <v>1</v>
      </c>
      <c r="L34" s="218">
        <v>0</v>
      </c>
      <c r="M34" s="425">
        <f t="shared" si="7"/>
        <v>3480</v>
      </c>
      <c r="N34" s="426">
        <f>M34*0.15*5.5</f>
        <v>2871</v>
      </c>
      <c r="O34" s="426">
        <f t="shared" si="6"/>
        <v>153120</v>
      </c>
      <c r="P34" s="215">
        <v>1</v>
      </c>
      <c r="Q34" s="216">
        <v>1</v>
      </c>
      <c r="R34" s="162">
        <f t="shared" si="2"/>
        <v>2025000</v>
      </c>
      <c r="S34" s="162">
        <f t="shared" si="3"/>
        <v>2025000</v>
      </c>
      <c r="T34" s="161">
        <f t="shared" si="4"/>
        <v>0</v>
      </c>
      <c r="U34" s="153">
        <f t="shared" si="5"/>
        <v>2025000</v>
      </c>
    </row>
    <row r="35" spans="1:21" s="47" customFormat="1" ht="21.75" customHeight="1">
      <c r="A35" s="213">
        <v>29</v>
      </c>
      <c r="B35" s="214" t="s">
        <v>46</v>
      </c>
      <c r="C35" s="353" t="s">
        <v>86</v>
      </c>
      <c r="D35" s="280" t="s">
        <v>87</v>
      </c>
      <c r="E35" s="150" t="s">
        <v>49</v>
      </c>
      <c r="F35" s="150" t="s">
        <v>1113</v>
      </c>
      <c r="G35" s="161">
        <v>25</v>
      </c>
      <c r="H35" s="162">
        <v>1150</v>
      </c>
      <c r="I35" s="153">
        <v>3</v>
      </c>
      <c r="J35" s="304" t="s">
        <v>66</v>
      </c>
      <c r="K35" s="218">
        <v>1</v>
      </c>
      <c r="L35" s="163">
        <v>0</v>
      </c>
      <c r="M35" s="425">
        <f t="shared" si="7"/>
        <v>5750</v>
      </c>
      <c r="N35" s="426">
        <f>M35*0.15*5.5</f>
        <v>4743.75</v>
      </c>
      <c r="O35" s="426">
        <f t="shared" si="6"/>
        <v>253000</v>
      </c>
      <c r="P35" s="215">
        <v>1</v>
      </c>
      <c r="Q35" s="216">
        <v>1</v>
      </c>
      <c r="R35" s="162">
        <f t="shared" si="2"/>
        <v>2025000</v>
      </c>
      <c r="S35" s="162">
        <f t="shared" si="3"/>
        <v>2025000</v>
      </c>
      <c r="T35" s="161">
        <f t="shared" si="4"/>
        <v>0</v>
      </c>
      <c r="U35" s="153">
        <f t="shared" si="5"/>
        <v>2025000</v>
      </c>
    </row>
    <row r="36" spans="1:21" s="47" customFormat="1" ht="21.75" customHeight="1">
      <c r="A36" s="213">
        <v>30</v>
      </c>
      <c r="B36" s="214" t="s">
        <v>17</v>
      </c>
      <c r="C36" s="353" t="s">
        <v>88</v>
      </c>
      <c r="D36" s="280" t="s">
        <v>87</v>
      </c>
      <c r="E36" s="150" t="s">
        <v>49</v>
      </c>
      <c r="F36" s="150" t="s">
        <v>1146</v>
      </c>
      <c r="G36" s="161">
        <v>25</v>
      </c>
      <c r="H36" s="162">
        <v>1150</v>
      </c>
      <c r="I36" s="153">
        <v>1</v>
      </c>
      <c r="J36" s="304" t="s">
        <v>62</v>
      </c>
      <c r="K36" s="218">
        <v>1</v>
      </c>
      <c r="L36" s="163">
        <v>0</v>
      </c>
      <c r="M36" s="425">
        <f>G36*H36*5/100</f>
        <v>1437.5</v>
      </c>
      <c r="N36" s="426">
        <f>M36*0.15*7</f>
        <v>1509.375</v>
      </c>
      <c r="O36" s="426">
        <f>M36*7.7*7+N36*2</f>
        <v>80500</v>
      </c>
      <c r="P36" s="215">
        <v>1</v>
      </c>
      <c r="Q36" s="216">
        <v>1</v>
      </c>
      <c r="R36" s="162">
        <f t="shared" si="2"/>
        <v>2025000</v>
      </c>
      <c r="S36" s="162">
        <f t="shared" si="3"/>
        <v>2025000</v>
      </c>
      <c r="T36" s="161">
        <f t="shared" si="4"/>
        <v>0</v>
      </c>
      <c r="U36" s="153">
        <f t="shared" si="5"/>
        <v>2025000</v>
      </c>
    </row>
    <row r="37" spans="1:21" s="47" customFormat="1" ht="21.75" customHeight="1">
      <c r="A37" s="213">
        <v>31</v>
      </c>
      <c r="B37" s="214" t="s">
        <v>17</v>
      </c>
      <c r="C37" s="352" t="s">
        <v>78</v>
      </c>
      <c r="D37" s="141" t="s">
        <v>79</v>
      </c>
      <c r="E37" s="150" t="s">
        <v>332</v>
      </c>
      <c r="F37" s="219"/>
      <c r="G37" s="215">
        <v>30</v>
      </c>
      <c r="H37" s="216">
        <v>1500</v>
      </c>
      <c r="I37" s="217">
        <v>4</v>
      </c>
      <c r="J37" s="304" t="s">
        <v>21</v>
      </c>
      <c r="K37" s="218">
        <v>1</v>
      </c>
      <c r="L37" s="218">
        <v>0</v>
      </c>
      <c r="M37" s="425">
        <f>G37*H37/5</f>
        <v>9000</v>
      </c>
      <c r="N37" s="426">
        <f>M37*0.15*5.5</f>
        <v>7425</v>
      </c>
      <c r="O37" s="426">
        <f t="shared" si="6"/>
        <v>396000</v>
      </c>
      <c r="P37" s="215">
        <v>1</v>
      </c>
      <c r="Q37" s="216">
        <v>1</v>
      </c>
      <c r="R37" s="162">
        <f t="shared" si="2"/>
        <v>2025000</v>
      </c>
      <c r="S37" s="162">
        <f t="shared" si="3"/>
        <v>2025000</v>
      </c>
      <c r="T37" s="161">
        <f t="shared" si="4"/>
        <v>0</v>
      </c>
      <c r="U37" s="153">
        <f t="shared" si="5"/>
        <v>2025000</v>
      </c>
    </row>
    <row r="38" spans="1:21" s="47" customFormat="1" ht="21.75" customHeight="1">
      <c r="A38" s="213">
        <v>32</v>
      </c>
      <c r="B38" s="214" t="s">
        <v>46</v>
      </c>
      <c r="C38" s="352" t="s">
        <v>80</v>
      </c>
      <c r="D38" s="141" t="s">
        <v>79</v>
      </c>
      <c r="E38" s="150" t="s">
        <v>332</v>
      </c>
      <c r="F38" s="150"/>
      <c r="G38" s="215">
        <v>30</v>
      </c>
      <c r="H38" s="216">
        <v>1500</v>
      </c>
      <c r="I38" s="217">
        <v>5</v>
      </c>
      <c r="J38" s="304" t="s">
        <v>21</v>
      </c>
      <c r="K38" s="218">
        <v>1</v>
      </c>
      <c r="L38" s="218">
        <v>0</v>
      </c>
      <c r="M38" s="425">
        <f>G38*H38/5</f>
        <v>9000</v>
      </c>
      <c r="N38" s="426">
        <f>M38*0.15*5.5</f>
        <v>7425</v>
      </c>
      <c r="O38" s="426">
        <f t="shared" si="6"/>
        <v>396000</v>
      </c>
      <c r="P38" s="215">
        <v>1</v>
      </c>
      <c r="Q38" s="216">
        <v>1</v>
      </c>
      <c r="R38" s="162">
        <f aca="true" t="shared" si="8" ref="R38:R63">90*$R$2</f>
        <v>2025000</v>
      </c>
      <c r="S38" s="162">
        <f t="shared" si="3"/>
        <v>2025000</v>
      </c>
      <c r="T38" s="161">
        <f t="shared" si="4"/>
        <v>0</v>
      </c>
      <c r="U38" s="153">
        <f t="shared" si="5"/>
        <v>2025000</v>
      </c>
    </row>
    <row r="39" spans="1:21" s="47" customFormat="1" ht="21.75" customHeight="1">
      <c r="A39" s="213">
        <v>33</v>
      </c>
      <c r="B39" s="214" t="s">
        <v>34</v>
      </c>
      <c r="C39" s="352" t="s">
        <v>82</v>
      </c>
      <c r="D39" s="280" t="s">
        <v>83</v>
      </c>
      <c r="E39" s="150" t="s">
        <v>20</v>
      </c>
      <c r="F39" s="150"/>
      <c r="G39" s="161">
        <v>14</v>
      </c>
      <c r="H39" s="162">
        <v>1000</v>
      </c>
      <c r="I39" s="153">
        <v>3</v>
      </c>
      <c r="J39" s="304" t="s">
        <v>40</v>
      </c>
      <c r="K39" s="218">
        <v>1</v>
      </c>
      <c r="L39" s="163"/>
      <c r="M39" s="425">
        <f>G39*H39*5/100</f>
        <v>700</v>
      </c>
      <c r="N39" s="426">
        <f>M39*0.15*7</f>
        <v>735</v>
      </c>
      <c r="O39" s="426">
        <f>M39*7.7*7+N39*2</f>
        <v>39200</v>
      </c>
      <c r="P39" s="215">
        <v>1</v>
      </c>
      <c r="Q39" s="216">
        <v>1</v>
      </c>
      <c r="R39" s="162">
        <f t="shared" si="8"/>
        <v>2025000</v>
      </c>
      <c r="S39" s="162">
        <f aca="true" t="shared" si="9" ref="S39:S63">R39*Q39*P39*K39</f>
        <v>2025000</v>
      </c>
      <c r="T39" s="161">
        <f aca="true" t="shared" si="10" ref="T39:T63">L39*P39*Q39*R39</f>
        <v>0</v>
      </c>
      <c r="U39" s="153">
        <f t="shared" si="5"/>
        <v>2025000</v>
      </c>
    </row>
    <row r="40" spans="1:21" s="47" customFormat="1" ht="21.75" customHeight="1">
      <c r="A40" s="213">
        <v>34</v>
      </c>
      <c r="B40" s="214" t="s">
        <v>46</v>
      </c>
      <c r="C40" s="352" t="s">
        <v>952</v>
      </c>
      <c r="D40" s="283" t="s">
        <v>953</v>
      </c>
      <c r="E40" s="150" t="s">
        <v>114</v>
      </c>
      <c r="F40" s="150"/>
      <c r="G40" s="161">
        <v>38</v>
      </c>
      <c r="H40" s="162">
        <v>3000</v>
      </c>
      <c r="I40" s="153">
        <v>3</v>
      </c>
      <c r="J40" s="304" t="s">
        <v>43</v>
      </c>
      <c r="K40" s="218">
        <v>1</v>
      </c>
      <c r="L40" s="163"/>
      <c r="M40" s="425">
        <f>G40*H40/5</f>
        <v>22800</v>
      </c>
      <c r="N40" s="426">
        <f>M40*0.15*7</f>
        <v>23940</v>
      </c>
      <c r="O40" s="426">
        <f>M40*7.7*7+N40*2</f>
        <v>1276800</v>
      </c>
      <c r="P40" s="215">
        <v>1</v>
      </c>
      <c r="Q40" s="216">
        <v>1</v>
      </c>
      <c r="R40" s="162">
        <f t="shared" si="8"/>
        <v>2025000</v>
      </c>
      <c r="S40" s="162">
        <f t="shared" si="9"/>
        <v>2025000</v>
      </c>
      <c r="T40" s="161">
        <f t="shared" si="10"/>
        <v>0</v>
      </c>
      <c r="U40" s="153">
        <f t="shared" si="5"/>
        <v>2025000</v>
      </c>
    </row>
    <row r="41" spans="1:21" s="47" customFormat="1" ht="21.75" customHeight="1">
      <c r="A41" s="213">
        <v>35</v>
      </c>
      <c r="B41" s="214" t="s">
        <v>46</v>
      </c>
      <c r="C41" s="352" t="s">
        <v>954</v>
      </c>
      <c r="D41" s="283" t="s">
        <v>953</v>
      </c>
      <c r="E41" s="150" t="s">
        <v>114</v>
      </c>
      <c r="F41" s="150"/>
      <c r="G41" s="161">
        <v>38</v>
      </c>
      <c r="H41" s="162">
        <v>3000</v>
      </c>
      <c r="I41" s="153">
        <v>3</v>
      </c>
      <c r="J41" s="304" t="s">
        <v>43</v>
      </c>
      <c r="K41" s="218">
        <v>1</v>
      </c>
      <c r="L41" s="163"/>
      <c r="M41" s="425">
        <f>G41*H41/5</f>
        <v>22800</v>
      </c>
      <c r="N41" s="426">
        <f>M41*0.15*7</f>
        <v>23940</v>
      </c>
      <c r="O41" s="426">
        <f>M41*7.7*7+N41*2</f>
        <v>1276800</v>
      </c>
      <c r="P41" s="215">
        <v>1</v>
      </c>
      <c r="Q41" s="216">
        <v>1</v>
      </c>
      <c r="R41" s="162">
        <f t="shared" si="8"/>
        <v>2025000</v>
      </c>
      <c r="S41" s="162">
        <f t="shared" si="9"/>
        <v>2025000</v>
      </c>
      <c r="T41" s="161">
        <f t="shared" si="10"/>
        <v>0</v>
      </c>
      <c r="U41" s="153">
        <f t="shared" si="5"/>
        <v>2025000</v>
      </c>
    </row>
    <row r="42" spans="1:21" s="47" customFormat="1" ht="21.75" customHeight="1">
      <c r="A42" s="213">
        <v>36</v>
      </c>
      <c r="B42" s="214" t="s">
        <v>46</v>
      </c>
      <c r="C42" s="352" t="s">
        <v>978</v>
      </c>
      <c r="D42" s="283" t="s">
        <v>977</v>
      </c>
      <c r="E42" s="150" t="s">
        <v>332</v>
      </c>
      <c r="F42" s="150"/>
      <c r="G42" s="161">
        <v>38</v>
      </c>
      <c r="H42" s="162">
        <f>2000/4</f>
        <v>500</v>
      </c>
      <c r="I42" s="153">
        <v>2</v>
      </c>
      <c r="J42" s="304" t="s">
        <v>25</v>
      </c>
      <c r="K42" s="218">
        <v>1</v>
      </c>
      <c r="L42" s="163"/>
      <c r="M42" s="425">
        <f>G42*H42/5</f>
        <v>3800</v>
      </c>
      <c r="N42" s="426">
        <f>M42*0.15*7</f>
        <v>3990</v>
      </c>
      <c r="O42" s="426">
        <f>M42*7.7*7+N42*2</f>
        <v>212800</v>
      </c>
      <c r="P42" s="215">
        <v>1</v>
      </c>
      <c r="Q42" s="216">
        <v>1</v>
      </c>
      <c r="R42" s="162">
        <f t="shared" si="8"/>
        <v>2025000</v>
      </c>
      <c r="S42" s="162">
        <f t="shared" si="9"/>
        <v>2025000</v>
      </c>
      <c r="T42" s="161">
        <f t="shared" si="10"/>
        <v>0</v>
      </c>
      <c r="U42" s="153">
        <f t="shared" si="5"/>
        <v>2025000</v>
      </c>
    </row>
    <row r="43" spans="1:21" s="47" customFormat="1" ht="21.75" customHeight="1">
      <c r="A43" s="213">
        <v>37</v>
      </c>
      <c r="B43" s="214" t="s">
        <v>46</v>
      </c>
      <c r="C43" s="352" t="s">
        <v>980</v>
      </c>
      <c r="D43" s="283" t="s">
        <v>977</v>
      </c>
      <c r="E43" s="150" t="s">
        <v>332</v>
      </c>
      <c r="F43" s="150"/>
      <c r="G43" s="161">
        <v>38</v>
      </c>
      <c r="H43" s="162">
        <f>2000/4</f>
        <v>500</v>
      </c>
      <c r="I43" s="153">
        <v>2</v>
      </c>
      <c r="J43" s="304" t="s">
        <v>40</v>
      </c>
      <c r="K43" s="218">
        <v>1</v>
      </c>
      <c r="L43" s="163"/>
      <c r="M43" s="425">
        <f>G43*H43/5</f>
        <v>3800</v>
      </c>
      <c r="N43" s="426">
        <f>M43*0.15*7</f>
        <v>3990</v>
      </c>
      <c r="O43" s="426">
        <f>M43*7.7*7+N43*2</f>
        <v>212800</v>
      </c>
      <c r="P43" s="215">
        <v>1</v>
      </c>
      <c r="Q43" s="216">
        <v>1</v>
      </c>
      <c r="R43" s="162">
        <f t="shared" si="8"/>
        <v>2025000</v>
      </c>
      <c r="S43" s="162">
        <f t="shared" si="9"/>
        <v>2025000</v>
      </c>
      <c r="T43" s="161">
        <f t="shared" si="10"/>
        <v>0</v>
      </c>
      <c r="U43" s="153">
        <f t="shared" si="5"/>
        <v>2025000</v>
      </c>
    </row>
    <row r="44" spans="1:21" s="47" customFormat="1" ht="21.75" customHeight="1">
      <c r="A44" s="213">
        <v>38</v>
      </c>
      <c r="B44" s="214" t="s">
        <v>46</v>
      </c>
      <c r="C44" s="352" t="s">
        <v>979</v>
      </c>
      <c r="D44" s="283" t="s">
        <v>977</v>
      </c>
      <c r="E44" s="150" t="s">
        <v>332</v>
      </c>
      <c r="F44" s="150"/>
      <c r="G44" s="161">
        <v>38</v>
      </c>
      <c r="H44" s="162">
        <f>2000/4</f>
        <v>500</v>
      </c>
      <c r="I44" s="153">
        <v>2</v>
      </c>
      <c r="J44" s="304" t="s">
        <v>25</v>
      </c>
      <c r="K44" s="218">
        <v>1</v>
      </c>
      <c r="L44" s="163"/>
      <c r="M44" s="82">
        <f>30%*(H44*G44/5)+70%*(H44*G44*5/100)</f>
        <v>1805</v>
      </c>
      <c r="N44" s="82">
        <f>30%*(H44*G44/5*0.15*5.5)+70%*(H44*G44*5/100*0.15*7)</f>
        <v>1638.75</v>
      </c>
      <c r="O44" s="82">
        <f>(30%*(G44*H44/5*6.6*5.5)+(G44*H44/5*0.15*5.5*2))+70%*(G44*H44*5/100*6.6*7)+(G44*H44*5/100*0.15*7*2)</f>
        <v>80370</v>
      </c>
      <c r="P44" s="215">
        <v>1</v>
      </c>
      <c r="Q44" s="216">
        <v>1</v>
      </c>
      <c r="R44" s="162">
        <f t="shared" si="8"/>
        <v>2025000</v>
      </c>
      <c r="S44" s="162">
        <f t="shared" si="9"/>
        <v>2025000</v>
      </c>
      <c r="T44" s="161">
        <f t="shared" si="10"/>
        <v>0</v>
      </c>
      <c r="U44" s="153">
        <f t="shared" si="5"/>
        <v>2025000</v>
      </c>
    </row>
    <row r="45" spans="1:21" s="47" customFormat="1" ht="21.75" customHeight="1">
      <c r="A45" s="213">
        <v>39</v>
      </c>
      <c r="B45" s="214" t="s">
        <v>46</v>
      </c>
      <c r="C45" s="352" t="s">
        <v>981</v>
      </c>
      <c r="D45" s="283" t="s">
        <v>977</v>
      </c>
      <c r="E45" s="150" t="s">
        <v>332</v>
      </c>
      <c r="F45" s="150"/>
      <c r="G45" s="161">
        <v>38</v>
      </c>
      <c r="H45" s="162">
        <f>2000/4</f>
        <v>500</v>
      </c>
      <c r="I45" s="153">
        <v>2</v>
      </c>
      <c r="J45" s="304" t="s">
        <v>40</v>
      </c>
      <c r="K45" s="218">
        <v>1</v>
      </c>
      <c r="L45" s="163"/>
      <c r="M45" s="82">
        <f>30%*(H45*G45/5)+70%*(H45*G45*5/100)</f>
        <v>1805</v>
      </c>
      <c r="N45" s="82">
        <f>30%*(H45*G45/5*0.15*5.5)+70%*(H45*G45*5/100*0.15*7)</f>
        <v>1638.75</v>
      </c>
      <c r="O45" s="82">
        <f>(30%*(G45*H45/5*6.6*5.5)+(G45*H45/5*0.15*5.5*2))+70%*(G45*H45*5/100*6.6*7)+(G45*H45*5/100*0.15*7*2)</f>
        <v>80370</v>
      </c>
      <c r="P45" s="215">
        <v>1</v>
      </c>
      <c r="Q45" s="216">
        <v>1</v>
      </c>
      <c r="R45" s="162">
        <f t="shared" si="8"/>
        <v>2025000</v>
      </c>
      <c r="S45" s="162">
        <f t="shared" si="9"/>
        <v>2025000</v>
      </c>
      <c r="T45" s="161">
        <f t="shared" si="10"/>
        <v>0</v>
      </c>
      <c r="U45" s="153">
        <f t="shared" si="5"/>
        <v>2025000</v>
      </c>
    </row>
    <row r="46" spans="1:21" s="47" customFormat="1" ht="21.75" customHeight="1">
      <c r="A46" s="213">
        <v>40</v>
      </c>
      <c r="B46" s="214" t="s">
        <v>17</v>
      </c>
      <c r="C46" s="355" t="s">
        <v>1500</v>
      </c>
      <c r="D46" s="284" t="s">
        <v>1196</v>
      </c>
      <c r="E46" s="150" t="s">
        <v>20</v>
      </c>
      <c r="F46" s="150"/>
      <c r="G46" s="161">
        <v>14</v>
      </c>
      <c r="H46" s="162">
        <v>450</v>
      </c>
      <c r="I46" s="153">
        <v>2</v>
      </c>
      <c r="J46" s="304" t="s">
        <v>25</v>
      </c>
      <c r="K46" s="218">
        <v>1</v>
      </c>
      <c r="L46" s="163"/>
      <c r="M46" s="82">
        <f>30%*(H46*G46/5)+70%*(H46*G46*5/100)</f>
        <v>598.5</v>
      </c>
      <c r="N46" s="82">
        <f>30%*(H46*G46/5*0.15*5.5)+70%*(H46*G46*5/100*0.15*7)</f>
        <v>543.375</v>
      </c>
      <c r="O46" s="82">
        <f>(30%*(G46*H46/5*6.6*5.5)+(G46*H46/5*0.15*5.5*2))+70%*(G46*H46*5/100*6.6*7)+(G46*H46*5/100*0.15*7*2)</f>
        <v>26649</v>
      </c>
      <c r="P46" s="215">
        <v>1</v>
      </c>
      <c r="Q46" s="216">
        <v>1</v>
      </c>
      <c r="R46" s="162">
        <f t="shared" si="8"/>
        <v>2025000</v>
      </c>
      <c r="S46" s="162">
        <f t="shared" si="9"/>
        <v>2025000</v>
      </c>
      <c r="T46" s="161">
        <f t="shared" si="10"/>
        <v>0</v>
      </c>
      <c r="U46" s="153">
        <f t="shared" si="5"/>
        <v>2025000</v>
      </c>
    </row>
    <row r="47" spans="1:21" s="47" customFormat="1" ht="21.75" customHeight="1">
      <c r="A47" s="213">
        <v>41</v>
      </c>
      <c r="B47" s="214" t="s">
        <v>34</v>
      </c>
      <c r="C47" s="355" t="s">
        <v>1319</v>
      </c>
      <c r="D47" s="284" t="s">
        <v>1320</v>
      </c>
      <c r="E47" s="150" t="s">
        <v>335</v>
      </c>
      <c r="F47" s="150"/>
      <c r="G47" s="161">
        <v>5</v>
      </c>
      <c r="H47" s="162">
        <v>4200</v>
      </c>
      <c r="I47" s="153">
        <v>2</v>
      </c>
      <c r="J47" s="304" t="s">
        <v>62</v>
      </c>
      <c r="K47" s="218">
        <v>1</v>
      </c>
      <c r="L47" s="163"/>
      <c r="M47" s="82">
        <f>30%*(H47*G47/5)+70%*(H47*G47*5/100)</f>
        <v>1995</v>
      </c>
      <c r="N47" s="82">
        <f>30%*(H47*G47/5*0.15*5.5)+70%*(H47*G47*5/100*0.15*7)</f>
        <v>1811.25</v>
      </c>
      <c r="O47" s="82">
        <f>(30%*(G47*H47/5*6.6*5.5)+(G47*H47/5*0.15*5.5*2))+70%*(G47*H47*5/100*6.6*7)+(G47*H47*5/100*0.15*7*2)</f>
        <v>88830</v>
      </c>
      <c r="P47" s="215">
        <v>1</v>
      </c>
      <c r="Q47" s="216">
        <v>1</v>
      </c>
      <c r="R47" s="162">
        <f t="shared" si="8"/>
        <v>2025000</v>
      </c>
      <c r="S47" s="162">
        <f t="shared" si="9"/>
        <v>2025000</v>
      </c>
      <c r="T47" s="161">
        <f t="shared" si="10"/>
        <v>0</v>
      </c>
      <c r="U47" s="153">
        <f t="shared" si="5"/>
        <v>2025000</v>
      </c>
    </row>
    <row r="48" spans="1:21" s="47" customFormat="1" ht="21.75" customHeight="1">
      <c r="A48" s="213">
        <v>42</v>
      </c>
      <c r="B48" s="214" t="s">
        <v>17</v>
      </c>
      <c r="C48" s="355" t="s">
        <v>1350</v>
      </c>
      <c r="D48" s="284" t="s">
        <v>1351</v>
      </c>
      <c r="E48" s="150" t="s">
        <v>24</v>
      </c>
      <c r="F48" s="150" t="s">
        <v>1352</v>
      </c>
      <c r="G48" s="161">
        <v>10</v>
      </c>
      <c r="H48" s="162">
        <v>750</v>
      </c>
      <c r="I48" s="153">
        <v>4</v>
      </c>
      <c r="J48" s="304" t="s">
        <v>40</v>
      </c>
      <c r="K48" s="218">
        <v>1</v>
      </c>
      <c r="L48" s="163"/>
      <c r="M48" s="426">
        <f>G48*H48/5</f>
        <v>1500</v>
      </c>
      <c r="N48" s="426">
        <f>M48*0.15*5.5</f>
        <v>1237.5</v>
      </c>
      <c r="O48" s="426">
        <f>M48*7.7*5.5+N48*2</f>
        <v>66000</v>
      </c>
      <c r="P48" s="215">
        <v>1</v>
      </c>
      <c r="Q48" s="216">
        <v>1</v>
      </c>
      <c r="R48" s="162">
        <f t="shared" si="8"/>
        <v>2025000</v>
      </c>
      <c r="S48" s="162">
        <f t="shared" si="9"/>
        <v>2025000</v>
      </c>
      <c r="T48" s="161">
        <f t="shared" si="10"/>
        <v>0</v>
      </c>
      <c r="U48" s="153">
        <f t="shared" si="5"/>
        <v>2025000</v>
      </c>
    </row>
    <row r="49" spans="1:21" s="47" customFormat="1" ht="21.75" customHeight="1">
      <c r="A49" s="213">
        <v>43</v>
      </c>
      <c r="B49" s="214" t="s">
        <v>34</v>
      </c>
      <c r="C49" s="355" t="s">
        <v>1354</v>
      </c>
      <c r="D49" s="284" t="s">
        <v>1355</v>
      </c>
      <c r="E49" s="150" t="s">
        <v>1207</v>
      </c>
      <c r="F49" s="150"/>
      <c r="G49" s="161">
        <v>5</v>
      </c>
      <c r="H49" s="162">
        <f>35000/3</f>
        <v>11666.666666666666</v>
      </c>
      <c r="I49" s="153">
        <v>2</v>
      </c>
      <c r="J49" s="304" t="s">
        <v>40</v>
      </c>
      <c r="K49" s="218">
        <v>1</v>
      </c>
      <c r="L49" s="163"/>
      <c r="M49" s="426">
        <f aca="true" t="shared" si="11" ref="M49:M63">G49*H49/5</f>
        <v>11666.666666666666</v>
      </c>
      <c r="N49" s="426">
        <f aca="true" t="shared" si="12" ref="N49:N63">M49*0.15*5.5</f>
        <v>9624.999999999998</v>
      </c>
      <c r="O49" s="426">
        <f aca="true" t="shared" si="13" ref="O49:O63">M49*7.7*5.5+N49*2</f>
        <v>513333.3333333333</v>
      </c>
      <c r="P49" s="215">
        <v>1</v>
      </c>
      <c r="Q49" s="216">
        <v>1</v>
      </c>
      <c r="R49" s="162">
        <f t="shared" si="8"/>
        <v>2025000</v>
      </c>
      <c r="S49" s="162">
        <f t="shared" si="9"/>
        <v>2025000</v>
      </c>
      <c r="T49" s="161">
        <f t="shared" si="10"/>
        <v>0</v>
      </c>
      <c r="U49" s="153">
        <f t="shared" si="5"/>
        <v>2025000</v>
      </c>
    </row>
    <row r="50" spans="1:21" s="47" customFormat="1" ht="21.75" customHeight="1">
      <c r="A50" s="213">
        <v>44</v>
      </c>
      <c r="B50" s="214" t="s">
        <v>1353</v>
      </c>
      <c r="C50" s="355" t="s">
        <v>1354</v>
      </c>
      <c r="D50" s="284" t="s">
        <v>1355</v>
      </c>
      <c r="E50" s="150" t="s">
        <v>1207</v>
      </c>
      <c r="F50" s="150"/>
      <c r="G50" s="161">
        <v>5</v>
      </c>
      <c r="H50" s="162">
        <f>35000/3</f>
        <v>11666.666666666666</v>
      </c>
      <c r="I50" s="153">
        <v>2</v>
      </c>
      <c r="J50" s="304" t="s">
        <v>40</v>
      </c>
      <c r="K50" s="218">
        <v>1</v>
      </c>
      <c r="L50" s="163"/>
      <c r="M50" s="426">
        <f t="shared" si="11"/>
        <v>11666.666666666666</v>
      </c>
      <c r="N50" s="426">
        <f t="shared" si="12"/>
        <v>9624.999999999998</v>
      </c>
      <c r="O50" s="426">
        <f t="shared" si="13"/>
        <v>513333.3333333333</v>
      </c>
      <c r="P50" s="215">
        <v>1</v>
      </c>
      <c r="Q50" s="216">
        <v>1</v>
      </c>
      <c r="R50" s="162">
        <f t="shared" si="8"/>
        <v>2025000</v>
      </c>
      <c r="S50" s="162">
        <f t="shared" si="9"/>
        <v>2025000</v>
      </c>
      <c r="T50" s="161">
        <f t="shared" si="10"/>
        <v>0</v>
      </c>
      <c r="U50" s="153">
        <f t="shared" si="5"/>
        <v>2025000</v>
      </c>
    </row>
    <row r="51" spans="1:21" s="47" customFormat="1" ht="21.75" customHeight="1">
      <c r="A51" s="213">
        <v>45</v>
      </c>
      <c r="B51" s="214" t="s">
        <v>125</v>
      </c>
      <c r="C51" s="355" t="s">
        <v>1354</v>
      </c>
      <c r="D51" s="284" t="s">
        <v>1355</v>
      </c>
      <c r="E51" s="150" t="s">
        <v>1207</v>
      </c>
      <c r="F51" s="150"/>
      <c r="G51" s="161">
        <v>5</v>
      </c>
      <c r="H51" s="162">
        <f>35000/3</f>
        <v>11666.666666666666</v>
      </c>
      <c r="I51" s="153">
        <v>2</v>
      </c>
      <c r="J51" s="304" t="s">
        <v>40</v>
      </c>
      <c r="K51" s="218">
        <v>1</v>
      </c>
      <c r="L51" s="163"/>
      <c r="M51" s="426">
        <f t="shared" si="11"/>
        <v>11666.666666666666</v>
      </c>
      <c r="N51" s="426">
        <f t="shared" si="12"/>
        <v>9624.999999999998</v>
      </c>
      <c r="O51" s="426">
        <f t="shared" si="13"/>
        <v>513333.3333333333</v>
      </c>
      <c r="P51" s="215">
        <v>1</v>
      </c>
      <c r="Q51" s="216">
        <v>1</v>
      </c>
      <c r="R51" s="162">
        <f t="shared" si="8"/>
        <v>2025000</v>
      </c>
      <c r="S51" s="162">
        <f t="shared" si="9"/>
        <v>2025000</v>
      </c>
      <c r="T51" s="161">
        <f t="shared" si="10"/>
        <v>0</v>
      </c>
      <c r="U51" s="153">
        <f t="shared" si="5"/>
        <v>2025000</v>
      </c>
    </row>
    <row r="52" spans="1:21" s="10" customFormat="1" ht="21.75" customHeight="1">
      <c r="A52" s="213">
        <v>46</v>
      </c>
      <c r="B52" s="220" t="s">
        <v>17</v>
      </c>
      <c r="C52" s="394" t="s">
        <v>1210</v>
      </c>
      <c r="D52" s="285" t="s">
        <v>1211</v>
      </c>
      <c r="E52" s="220" t="s">
        <v>20</v>
      </c>
      <c r="F52" s="220" t="s">
        <v>1241</v>
      </c>
      <c r="G52" s="157">
        <v>19</v>
      </c>
      <c r="H52" s="157">
        <v>1000</v>
      </c>
      <c r="I52" s="157">
        <v>1</v>
      </c>
      <c r="J52" s="306" t="s">
        <v>62</v>
      </c>
      <c r="K52" s="221">
        <v>1</v>
      </c>
      <c r="L52" s="222"/>
      <c r="M52" s="426">
        <f t="shared" si="11"/>
        <v>3800</v>
      </c>
      <c r="N52" s="426">
        <f t="shared" si="12"/>
        <v>3135</v>
      </c>
      <c r="O52" s="426">
        <f t="shared" si="13"/>
        <v>167200</v>
      </c>
      <c r="P52" s="224">
        <v>1</v>
      </c>
      <c r="Q52" s="225">
        <v>1</v>
      </c>
      <c r="R52" s="223">
        <f t="shared" si="8"/>
        <v>2025000</v>
      </c>
      <c r="S52" s="223">
        <f t="shared" si="9"/>
        <v>2025000</v>
      </c>
      <c r="T52" s="252">
        <f t="shared" si="10"/>
        <v>0</v>
      </c>
      <c r="U52" s="226">
        <f aca="true" t="shared" si="14" ref="U52:U63">R52*Q52*P52</f>
        <v>2025000</v>
      </c>
    </row>
    <row r="53" spans="1:21" s="10" customFormat="1" ht="21.75" customHeight="1">
      <c r="A53" s="213">
        <v>47</v>
      </c>
      <c r="B53" s="155" t="s">
        <v>17</v>
      </c>
      <c r="C53" s="395" t="s">
        <v>1212</v>
      </c>
      <c r="D53" s="286" t="s">
        <v>1213</v>
      </c>
      <c r="E53" s="155" t="s">
        <v>20</v>
      </c>
      <c r="F53" s="155"/>
      <c r="G53" s="30">
        <v>15</v>
      </c>
      <c r="H53" s="30">
        <v>600</v>
      </c>
      <c r="I53" s="30">
        <v>1</v>
      </c>
      <c r="J53" s="304" t="s">
        <v>62</v>
      </c>
      <c r="K53" s="218">
        <v>1</v>
      </c>
      <c r="L53" s="163"/>
      <c r="M53" s="426">
        <f t="shared" si="11"/>
        <v>1800</v>
      </c>
      <c r="N53" s="426">
        <f t="shared" si="12"/>
        <v>1485</v>
      </c>
      <c r="O53" s="426">
        <f t="shared" si="13"/>
        <v>79200</v>
      </c>
      <c r="P53" s="215">
        <v>1</v>
      </c>
      <c r="Q53" s="216">
        <v>1</v>
      </c>
      <c r="R53" s="162">
        <f t="shared" si="8"/>
        <v>2025000</v>
      </c>
      <c r="S53" s="162">
        <f t="shared" si="9"/>
        <v>2025000</v>
      </c>
      <c r="T53" s="161">
        <f t="shared" si="10"/>
        <v>0</v>
      </c>
      <c r="U53" s="153">
        <f t="shared" si="14"/>
        <v>2025000</v>
      </c>
    </row>
    <row r="54" spans="1:21" s="10" customFormat="1" ht="21.75" customHeight="1">
      <c r="A54" s="213">
        <v>48</v>
      </c>
      <c r="B54" s="155" t="s">
        <v>17</v>
      </c>
      <c r="C54" s="396" t="s">
        <v>1214</v>
      </c>
      <c r="D54" s="287" t="s">
        <v>1215</v>
      </c>
      <c r="E54" s="155" t="s">
        <v>20</v>
      </c>
      <c r="F54" s="155" t="s">
        <v>1524</v>
      </c>
      <c r="G54" s="30">
        <v>22</v>
      </c>
      <c r="H54" s="30">
        <v>500</v>
      </c>
      <c r="I54" s="30">
        <v>1</v>
      </c>
      <c r="J54" s="304" t="s">
        <v>62</v>
      </c>
      <c r="K54" s="218">
        <v>1</v>
      </c>
      <c r="L54" s="163"/>
      <c r="M54" s="426">
        <f t="shared" si="11"/>
        <v>2200</v>
      </c>
      <c r="N54" s="426">
        <f t="shared" si="12"/>
        <v>1815</v>
      </c>
      <c r="O54" s="426">
        <f t="shared" si="13"/>
        <v>96800</v>
      </c>
      <c r="P54" s="215">
        <v>1</v>
      </c>
      <c r="Q54" s="216">
        <v>1</v>
      </c>
      <c r="R54" s="162">
        <f t="shared" si="8"/>
        <v>2025000</v>
      </c>
      <c r="S54" s="162">
        <f t="shared" si="9"/>
        <v>2025000</v>
      </c>
      <c r="T54" s="161">
        <f t="shared" si="10"/>
        <v>0</v>
      </c>
      <c r="U54" s="153">
        <f t="shared" si="14"/>
        <v>2025000</v>
      </c>
    </row>
    <row r="55" spans="1:21" s="10" customFormat="1" ht="21.75" customHeight="1">
      <c r="A55" s="213">
        <v>49</v>
      </c>
      <c r="B55" s="155" t="s">
        <v>17</v>
      </c>
      <c r="C55" s="397" t="s">
        <v>1216</v>
      </c>
      <c r="D55" s="288" t="s">
        <v>1217</v>
      </c>
      <c r="E55" s="155" t="s">
        <v>20</v>
      </c>
      <c r="F55" s="155" t="s">
        <v>1525</v>
      </c>
      <c r="G55" s="30">
        <v>20</v>
      </c>
      <c r="H55" s="30">
        <v>500</v>
      </c>
      <c r="I55" s="30">
        <v>1</v>
      </c>
      <c r="J55" s="304" t="s">
        <v>62</v>
      </c>
      <c r="K55" s="218">
        <v>1</v>
      </c>
      <c r="L55" s="163"/>
      <c r="M55" s="426">
        <f t="shared" si="11"/>
        <v>2000</v>
      </c>
      <c r="N55" s="426">
        <f t="shared" si="12"/>
        <v>1650</v>
      </c>
      <c r="O55" s="426">
        <f t="shared" si="13"/>
        <v>88000</v>
      </c>
      <c r="P55" s="215">
        <v>1</v>
      </c>
      <c r="Q55" s="216">
        <v>1</v>
      </c>
      <c r="R55" s="162">
        <f t="shared" si="8"/>
        <v>2025000</v>
      </c>
      <c r="S55" s="162">
        <f t="shared" si="9"/>
        <v>2025000</v>
      </c>
      <c r="T55" s="161">
        <f t="shared" si="10"/>
        <v>0</v>
      </c>
      <c r="U55" s="153">
        <f t="shared" si="14"/>
        <v>2025000</v>
      </c>
    </row>
    <row r="56" spans="1:21" s="10" customFormat="1" ht="21.75" customHeight="1">
      <c r="A56" s="213">
        <v>50</v>
      </c>
      <c r="B56" s="155" t="s">
        <v>17</v>
      </c>
      <c r="C56" s="398" t="s">
        <v>1218</v>
      </c>
      <c r="D56" s="289" t="s">
        <v>1360</v>
      </c>
      <c r="E56" s="155" t="s">
        <v>20</v>
      </c>
      <c r="F56" s="155" t="s">
        <v>1242</v>
      </c>
      <c r="G56" s="30">
        <v>23</v>
      </c>
      <c r="H56" s="30">
        <v>1500</v>
      </c>
      <c r="I56" s="30">
        <v>1</v>
      </c>
      <c r="J56" s="304" t="s">
        <v>62</v>
      </c>
      <c r="K56" s="218">
        <v>1</v>
      </c>
      <c r="L56" s="163"/>
      <c r="M56" s="426">
        <f t="shared" si="11"/>
        <v>6900</v>
      </c>
      <c r="N56" s="426">
        <f t="shared" si="12"/>
        <v>5692.5</v>
      </c>
      <c r="O56" s="426">
        <f t="shared" si="13"/>
        <v>303600</v>
      </c>
      <c r="P56" s="215">
        <v>1</v>
      </c>
      <c r="Q56" s="216">
        <v>1</v>
      </c>
      <c r="R56" s="162">
        <f t="shared" si="8"/>
        <v>2025000</v>
      </c>
      <c r="S56" s="162">
        <f t="shared" si="9"/>
        <v>2025000</v>
      </c>
      <c r="T56" s="161">
        <f t="shared" si="10"/>
        <v>0</v>
      </c>
      <c r="U56" s="153">
        <f t="shared" si="14"/>
        <v>2025000</v>
      </c>
    </row>
    <row r="57" spans="1:21" s="10" customFormat="1" ht="21.75" customHeight="1">
      <c r="A57" s="213">
        <v>51</v>
      </c>
      <c r="B57" s="214" t="s">
        <v>17</v>
      </c>
      <c r="C57" s="399" t="s">
        <v>1219</v>
      </c>
      <c r="D57" s="290" t="s">
        <v>1220</v>
      </c>
      <c r="E57" s="155" t="s">
        <v>126</v>
      </c>
      <c r="F57" s="155" t="s">
        <v>1303</v>
      </c>
      <c r="G57" s="30">
        <v>30</v>
      </c>
      <c r="H57" s="30">
        <v>2000</v>
      </c>
      <c r="I57" s="30">
        <v>1</v>
      </c>
      <c r="J57" s="304" t="s">
        <v>62</v>
      </c>
      <c r="K57" s="218">
        <v>1</v>
      </c>
      <c r="L57" s="163"/>
      <c r="M57" s="426">
        <f t="shared" si="11"/>
        <v>12000</v>
      </c>
      <c r="N57" s="426">
        <f t="shared" si="12"/>
        <v>9900</v>
      </c>
      <c r="O57" s="426">
        <f t="shared" si="13"/>
        <v>528000</v>
      </c>
      <c r="P57" s="215">
        <v>1</v>
      </c>
      <c r="Q57" s="216">
        <v>1</v>
      </c>
      <c r="R57" s="162">
        <f t="shared" si="8"/>
        <v>2025000</v>
      </c>
      <c r="S57" s="162">
        <f t="shared" si="9"/>
        <v>2025000</v>
      </c>
      <c r="T57" s="161">
        <f t="shared" si="10"/>
        <v>0</v>
      </c>
      <c r="U57" s="153">
        <f t="shared" si="14"/>
        <v>2025000</v>
      </c>
    </row>
    <row r="58" spans="1:21" s="10" customFormat="1" ht="21.75" customHeight="1">
      <c r="A58" s="213">
        <v>52</v>
      </c>
      <c r="B58" s="155" t="s">
        <v>17</v>
      </c>
      <c r="C58" s="400" t="s">
        <v>1221</v>
      </c>
      <c r="D58" s="291" t="s">
        <v>1222</v>
      </c>
      <c r="E58" s="155" t="s">
        <v>126</v>
      </c>
      <c r="F58" s="227" t="s">
        <v>1243</v>
      </c>
      <c r="G58" s="30">
        <v>10</v>
      </c>
      <c r="H58" s="30">
        <v>1500</v>
      </c>
      <c r="I58" s="30">
        <v>1</v>
      </c>
      <c r="J58" s="304" t="s">
        <v>62</v>
      </c>
      <c r="K58" s="218">
        <v>1</v>
      </c>
      <c r="L58" s="163"/>
      <c r="M58" s="426">
        <f t="shared" si="11"/>
        <v>3000</v>
      </c>
      <c r="N58" s="426">
        <f t="shared" si="12"/>
        <v>2475</v>
      </c>
      <c r="O58" s="426">
        <f t="shared" si="13"/>
        <v>132000</v>
      </c>
      <c r="P58" s="215">
        <v>1</v>
      </c>
      <c r="Q58" s="216">
        <v>1</v>
      </c>
      <c r="R58" s="162">
        <f t="shared" si="8"/>
        <v>2025000</v>
      </c>
      <c r="S58" s="162">
        <f t="shared" si="9"/>
        <v>2025000</v>
      </c>
      <c r="T58" s="161">
        <f t="shared" si="10"/>
        <v>0</v>
      </c>
      <c r="U58" s="153">
        <f t="shared" si="14"/>
        <v>2025000</v>
      </c>
    </row>
    <row r="59" spans="1:21" s="10" customFormat="1" ht="21.75" customHeight="1">
      <c r="A59" s="213">
        <v>53</v>
      </c>
      <c r="B59" s="214" t="s">
        <v>17</v>
      </c>
      <c r="C59" s="401" t="s">
        <v>1223</v>
      </c>
      <c r="D59" s="292" t="s">
        <v>1224</v>
      </c>
      <c r="E59" s="155" t="s">
        <v>107</v>
      </c>
      <c r="F59" s="227" t="s">
        <v>1243</v>
      </c>
      <c r="G59" s="30">
        <v>23</v>
      </c>
      <c r="H59" s="30">
        <v>1200</v>
      </c>
      <c r="I59" s="30">
        <v>1</v>
      </c>
      <c r="J59" s="304" t="s">
        <v>62</v>
      </c>
      <c r="K59" s="218">
        <v>1</v>
      </c>
      <c r="L59" s="163"/>
      <c r="M59" s="426">
        <f t="shared" si="11"/>
        <v>5520</v>
      </c>
      <c r="N59" s="426">
        <f t="shared" si="12"/>
        <v>4554</v>
      </c>
      <c r="O59" s="426">
        <f t="shared" si="13"/>
        <v>242880</v>
      </c>
      <c r="P59" s="215">
        <v>1</v>
      </c>
      <c r="Q59" s="216">
        <v>1</v>
      </c>
      <c r="R59" s="162">
        <f t="shared" si="8"/>
        <v>2025000</v>
      </c>
      <c r="S59" s="162">
        <f t="shared" si="9"/>
        <v>2025000</v>
      </c>
      <c r="T59" s="161">
        <f t="shared" si="10"/>
        <v>0</v>
      </c>
      <c r="U59" s="153">
        <f t="shared" si="14"/>
        <v>2025000</v>
      </c>
    </row>
    <row r="60" spans="1:21" s="10" customFormat="1" ht="21.75" customHeight="1">
      <c r="A60" s="213">
        <v>54</v>
      </c>
      <c r="B60" s="214" t="s">
        <v>34</v>
      </c>
      <c r="C60" s="402" t="s">
        <v>1225</v>
      </c>
      <c r="D60" s="293" t="s">
        <v>1226</v>
      </c>
      <c r="E60" s="155" t="s">
        <v>126</v>
      </c>
      <c r="F60" s="227" t="s">
        <v>1243</v>
      </c>
      <c r="G60" s="30">
        <v>6</v>
      </c>
      <c r="H60" s="30">
        <v>2500</v>
      </c>
      <c r="I60" s="30">
        <v>1</v>
      </c>
      <c r="J60" s="304" t="s">
        <v>62</v>
      </c>
      <c r="K60" s="218">
        <v>1</v>
      </c>
      <c r="L60" s="163"/>
      <c r="M60" s="426">
        <f t="shared" si="11"/>
        <v>3000</v>
      </c>
      <c r="N60" s="426">
        <f t="shared" si="12"/>
        <v>2475</v>
      </c>
      <c r="O60" s="426">
        <f t="shared" si="13"/>
        <v>132000</v>
      </c>
      <c r="P60" s="215">
        <v>1</v>
      </c>
      <c r="Q60" s="216">
        <v>1</v>
      </c>
      <c r="R60" s="162">
        <f t="shared" si="8"/>
        <v>2025000</v>
      </c>
      <c r="S60" s="162">
        <f t="shared" si="9"/>
        <v>2025000</v>
      </c>
      <c r="T60" s="161">
        <f t="shared" si="10"/>
        <v>0</v>
      </c>
      <c r="U60" s="153">
        <f t="shared" si="14"/>
        <v>2025000</v>
      </c>
    </row>
    <row r="61" spans="1:21" s="10" customFormat="1" ht="21.75" customHeight="1">
      <c r="A61" s="213">
        <v>55</v>
      </c>
      <c r="B61" s="228" t="s">
        <v>17</v>
      </c>
      <c r="C61" s="403" t="s">
        <v>1433</v>
      </c>
      <c r="D61" s="294" t="s">
        <v>1356</v>
      </c>
      <c r="E61" s="228" t="s">
        <v>20</v>
      </c>
      <c r="F61" s="229"/>
      <c r="G61" s="31">
        <v>20</v>
      </c>
      <c r="H61" s="31">
        <v>686</v>
      </c>
      <c r="I61" s="31">
        <v>4</v>
      </c>
      <c r="J61" s="307" t="s">
        <v>25</v>
      </c>
      <c r="K61" s="230">
        <v>1</v>
      </c>
      <c r="L61" s="231"/>
      <c r="M61" s="426">
        <f t="shared" si="11"/>
        <v>2744</v>
      </c>
      <c r="N61" s="426">
        <f t="shared" si="12"/>
        <v>2263.7999999999997</v>
      </c>
      <c r="O61" s="426">
        <f t="shared" si="13"/>
        <v>120736</v>
      </c>
      <c r="P61" s="215">
        <v>1</v>
      </c>
      <c r="Q61" s="216">
        <v>1</v>
      </c>
      <c r="R61" s="162">
        <f t="shared" si="8"/>
        <v>2025000</v>
      </c>
      <c r="S61" s="162">
        <f t="shared" si="9"/>
        <v>2025000</v>
      </c>
      <c r="T61" s="161">
        <f t="shared" si="10"/>
        <v>0</v>
      </c>
      <c r="U61" s="153">
        <f t="shared" si="14"/>
        <v>2025000</v>
      </c>
    </row>
    <row r="62" spans="1:21" s="10" customFormat="1" ht="21.75" customHeight="1">
      <c r="A62" s="213">
        <v>56</v>
      </c>
      <c r="B62" s="228" t="s">
        <v>17</v>
      </c>
      <c r="C62" s="403" t="s">
        <v>1434</v>
      </c>
      <c r="D62" s="294" t="s">
        <v>1356</v>
      </c>
      <c r="E62" s="228" t="s">
        <v>20</v>
      </c>
      <c r="F62" s="229"/>
      <c r="G62" s="31">
        <v>20</v>
      </c>
      <c r="H62" s="31">
        <v>686</v>
      </c>
      <c r="I62" s="31">
        <v>4</v>
      </c>
      <c r="J62" s="307" t="s">
        <v>25</v>
      </c>
      <c r="K62" s="230">
        <v>1</v>
      </c>
      <c r="L62" s="231"/>
      <c r="M62" s="426">
        <f t="shared" si="11"/>
        <v>2744</v>
      </c>
      <c r="N62" s="426">
        <f t="shared" si="12"/>
        <v>2263.7999999999997</v>
      </c>
      <c r="O62" s="426">
        <f t="shared" si="13"/>
        <v>120736</v>
      </c>
      <c r="P62" s="215">
        <v>1</v>
      </c>
      <c r="Q62" s="216">
        <v>1</v>
      </c>
      <c r="R62" s="162">
        <f t="shared" si="8"/>
        <v>2025000</v>
      </c>
      <c r="S62" s="162">
        <f t="shared" si="9"/>
        <v>2025000</v>
      </c>
      <c r="T62" s="161">
        <f t="shared" si="10"/>
        <v>0</v>
      </c>
      <c r="U62" s="153">
        <f t="shared" si="14"/>
        <v>2025000</v>
      </c>
    </row>
    <row r="63" spans="1:21" s="10" customFormat="1" ht="21.75" customHeight="1" thickBot="1">
      <c r="A63" s="213">
        <v>57</v>
      </c>
      <c r="B63" s="228" t="s">
        <v>17</v>
      </c>
      <c r="C63" s="404" t="s">
        <v>1227</v>
      </c>
      <c r="D63" s="295" t="s">
        <v>1228</v>
      </c>
      <c r="E63" s="228" t="s">
        <v>24</v>
      </c>
      <c r="F63" s="228" t="s">
        <v>1526</v>
      </c>
      <c r="G63" s="31">
        <v>18</v>
      </c>
      <c r="H63" s="31">
        <v>1000</v>
      </c>
      <c r="I63" s="31">
        <v>1</v>
      </c>
      <c r="J63" s="307" t="s">
        <v>62</v>
      </c>
      <c r="K63" s="230">
        <v>1</v>
      </c>
      <c r="L63" s="231"/>
      <c r="M63" s="426">
        <f t="shared" si="11"/>
        <v>3600</v>
      </c>
      <c r="N63" s="426">
        <f t="shared" si="12"/>
        <v>2970</v>
      </c>
      <c r="O63" s="426">
        <f t="shared" si="13"/>
        <v>158400</v>
      </c>
      <c r="P63" s="233">
        <v>1</v>
      </c>
      <c r="Q63" s="234">
        <v>1</v>
      </c>
      <c r="R63" s="232">
        <f t="shared" si="8"/>
        <v>2025000</v>
      </c>
      <c r="S63" s="232">
        <f t="shared" si="9"/>
        <v>2025000</v>
      </c>
      <c r="T63" s="196">
        <f t="shared" si="10"/>
        <v>0</v>
      </c>
      <c r="U63" s="165">
        <f t="shared" si="14"/>
        <v>2025000</v>
      </c>
    </row>
    <row r="64" spans="1:21" s="42" customFormat="1" ht="22.5" customHeight="1">
      <c r="A64" s="367" t="s">
        <v>93</v>
      </c>
      <c r="B64" s="368"/>
      <c r="C64" s="369"/>
      <c r="D64" s="369"/>
      <c r="E64" s="368"/>
      <c r="F64" s="368"/>
      <c r="G64" s="370"/>
      <c r="H64" s="368"/>
      <c r="I64" s="368"/>
      <c r="J64" s="371"/>
      <c r="K64" s="372"/>
      <c r="L64" s="372"/>
      <c r="M64" s="368"/>
      <c r="N64" s="368"/>
      <c r="O64" s="368"/>
      <c r="P64" s="392">
        <f>SUM(P7:P63)</f>
        <v>57</v>
      </c>
      <c r="Q64" s="368"/>
      <c r="R64" s="368"/>
      <c r="S64" s="368"/>
      <c r="T64" s="368"/>
      <c r="U64" s="373"/>
    </row>
    <row r="65" spans="1:21" s="47" customFormat="1" ht="21.75" customHeight="1">
      <c r="A65" s="213">
        <v>1</v>
      </c>
      <c r="B65" s="214" t="s">
        <v>17</v>
      </c>
      <c r="C65" s="405" t="s">
        <v>94</v>
      </c>
      <c r="D65" s="141" t="s">
        <v>95</v>
      </c>
      <c r="E65" s="150" t="s">
        <v>20</v>
      </c>
      <c r="F65" s="150" t="s">
        <v>1115</v>
      </c>
      <c r="G65" s="161">
        <v>15</v>
      </c>
      <c r="H65" s="162">
        <v>400</v>
      </c>
      <c r="I65" s="153">
        <v>2</v>
      </c>
      <c r="J65" s="304" t="s">
        <v>62</v>
      </c>
      <c r="K65" s="163">
        <v>1</v>
      </c>
      <c r="L65" s="163">
        <v>0</v>
      </c>
      <c r="M65" s="425">
        <f>G65*H65/5</f>
        <v>1200</v>
      </c>
      <c r="N65" s="426">
        <f>M65*0.15*5.5</f>
        <v>990</v>
      </c>
      <c r="O65" s="426">
        <f>M65*7.7*5.5+N65*2</f>
        <v>52800</v>
      </c>
      <c r="P65" s="161">
        <v>1</v>
      </c>
      <c r="Q65" s="162">
        <v>1</v>
      </c>
      <c r="R65" s="162">
        <f aca="true" t="shared" si="15" ref="R65:R95">68*$R$2</f>
        <v>1530000</v>
      </c>
      <c r="S65" s="162">
        <f aca="true" t="shared" si="16" ref="S65:S98">R65*Q65*P65*K65</f>
        <v>1530000</v>
      </c>
      <c r="T65" s="161">
        <f aca="true" t="shared" si="17" ref="T65:T96">L65*P65*Q65*R65</f>
        <v>0</v>
      </c>
      <c r="U65" s="153">
        <f aca="true" t="shared" si="18" ref="U65:U96">S65+T65</f>
        <v>1530000</v>
      </c>
    </row>
    <row r="66" spans="1:21" s="47" customFormat="1" ht="21.75" customHeight="1">
      <c r="A66" s="213">
        <v>2</v>
      </c>
      <c r="B66" s="214" t="s">
        <v>17</v>
      </c>
      <c r="C66" s="354" t="s">
        <v>96</v>
      </c>
      <c r="D66" s="141" t="s">
        <v>97</v>
      </c>
      <c r="E66" s="150" t="s">
        <v>20</v>
      </c>
      <c r="F66" s="150"/>
      <c r="G66" s="161">
        <v>11</v>
      </c>
      <c r="H66" s="162">
        <v>500</v>
      </c>
      <c r="I66" s="153">
        <v>2</v>
      </c>
      <c r="J66" s="304" t="s">
        <v>62</v>
      </c>
      <c r="K66" s="163">
        <v>1</v>
      </c>
      <c r="L66" s="163">
        <v>0</v>
      </c>
      <c r="M66" s="425">
        <f>G66*H66/5</f>
        <v>1100</v>
      </c>
      <c r="N66" s="426">
        <f>M66*0.15*5.5</f>
        <v>907.5</v>
      </c>
      <c r="O66" s="426">
        <f>M66*7.7*5.5+N66*2</f>
        <v>48400</v>
      </c>
      <c r="P66" s="161">
        <v>1</v>
      </c>
      <c r="Q66" s="162">
        <v>1</v>
      </c>
      <c r="R66" s="162">
        <f t="shared" si="15"/>
        <v>1530000</v>
      </c>
      <c r="S66" s="162">
        <f t="shared" si="16"/>
        <v>1530000</v>
      </c>
      <c r="T66" s="161">
        <f t="shared" si="17"/>
        <v>0</v>
      </c>
      <c r="U66" s="153">
        <f t="shared" si="18"/>
        <v>1530000</v>
      </c>
    </row>
    <row r="67" spans="1:21" s="47" customFormat="1" ht="21.75" customHeight="1">
      <c r="A67" s="213">
        <v>3</v>
      </c>
      <c r="B67" s="214" t="s">
        <v>17</v>
      </c>
      <c r="C67" s="405" t="s">
        <v>98</v>
      </c>
      <c r="D67" s="141" t="s">
        <v>99</v>
      </c>
      <c r="E67" s="150" t="s">
        <v>20</v>
      </c>
      <c r="F67" s="150"/>
      <c r="G67" s="161">
        <v>14</v>
      </c>
      <c r="H67" s="162">
        <v>400</v>
      </c>
      <c r="I67" s="153">
        <v>2</v>
      </c>
      <c r="J67" s="304" t="s">
        <v>40</v>
      </c>
      <c r="K67" s="163">
        <v>1</v>
      </c>
      <c r="L67" s="163">
        <v>0</v>
      </c>
      <c r="M67" s="425">
        <f>G67*H67/5</f>
        <v>1120</v>
      </c>
      <c r="N67" s="426">
        <f>M67*0.15*5.5</f>
        <v>924</v>
      </c>
      <c r="O67" s="426">
        <f>M67*7.7*5.5+N67*2</f>
        <v>49280</v>
      </c>
      <c r="P67" s="161">
        <v>1</v>
      </c>
      <c r="Q67" s="162">
        <v>1</v>
      </c>
      <c r="R67" s="162">
        <f t="shared" si="15"/>
        <v>1530000</v>
      </c>
      <c r="S67" s="162">
        <f t="shared" si="16"/>
        <v>1530000</v>
      </c>
      <c r="T67" s="161">
        <f t="shared" si="17"/>
        <v>0</v>
      </c>
      <c r="U67" s="153">
        <f t="shared" si="18"/>
        <v>1530000</v>
      </c>
    </row>
    <row r="68" spans="1:21" s="51" customFormat="1" ht="21.75" customHeight="1">
      <c r="A68" s="213">
        <v>4</v>
      </c>
      <c r="B68" s="214" t="s">
        <v>46</v>
      </c>
      <c r="C68" s="354" t="s">
        <v>1007</v>
      </c>
      <c r="D68" s="141" t="s">
        <v>101</v>
      </c>
      <c r="E68" s="150" t="s">
        <v>91</v>
      </c>
      <c r="F68" s="150"/>
      <c r="G68" s="161">
        <v>18</v>
      </c>
      <c r="H68" s="162">
        <f>2010/2</f>
        <v>1005</v>
      </c>
      <c r="I68" s="153">
        <v>3</v>
      </c>
      <c r="J68" s="304" t="s">
        <v>62</v>
      </c>
      <c r="K68" s="163">
        <v>1</v>
      </c>
      <c r="L68" s="235">
        <v>0</v>
      </c>
      <c r="M68" s="82">
        <f>30%*(H68*G68/5)+70%*(H68*G68*5/100)</f>
        <v>1718.5499999999997</v>
      </c>
      <c r="N68" s="82">
        <f>30%*(H68*G68/5*0.15*5.5)+70%*(H68*G68*5/100*0.15*7)</f>
        <v>1560.2624999999998</v>
      </c>
      <c r="O68" s="82">
        <f>(30%*(G68*H68/5*6.6*5.5)+(G68*H68/5*0.15*5.5*2))+70%*(G68*H68*5/100*6.6*7)+(G68*H68*5/100*0.15*7*2)</f>
        <v>76520.7</v>
      </c>
      <c r="P68" s="161">
        <v>1</v>
      </c>
      <c r="Q68" s="162">
        <v>1</v>
      </c>
      <c r="R68" s="162">
        <f t="shared" si="15"/>
        <v>1530000</v>
      </c>
      <c r="S68" s="162">
        <f t="shared" si="16"/>
        <v>1530000</v>
      </c>
      <c r="T68" s="161">
        <f t="shared" si="17"/>
        <v>0</v>
      </c>
      <c r="U68" s="153">
        <f t="shared" si="18"/>
        <v>1530000</v>
      </c>
    </row>
    <row r="69" spans="1:21" s="51" customFormat="1" ht="21.75" customHeight="1">
      <c r="A69" s="213">
        <v>5</v>
      </c>
      <c r="B69" s="214" t="s">
        <v>46</v>
      </c>
      <c r="C69" s="354" t="s">
        <v>1060</v>
      </c>
      <c r="D69" s="141" t="s">
        <v>101</v>
      </c>
      <c r="E69" s="150" t="s">
        <v>91</v>
      </c>
      <c r="F69" s="150"/>
      <c r="G69" s="161">
        <v>18</v>
      </c>
      <c r="H69" s="162">
        <f>2010/2</f>
        <v>1005</v>
      </c>
      <c r="I69" s="153">
        <v>3</v>
      </c>
      <c r="J69" s="304" t="s">
        <v>25</v>
      </c>
      <c r="K69" s="163">
        <v>1</v>
      </c>
      <c r="L69" s="235">
        <v>0</v>
      </c>
      <c r="M69" s="82">
        <f>30%*(H69*G69/5)+70%*(H69*G69*5/100)</f>
        <v>1718.5499999999997</v>
      </c>
      <c r="N69" s="82">
        <f>30%*(H69*G69/5*0.15*5.5)+70%*(H69*G69*5/100*0.15*7)</f>
        <v>1560.2624999999998</v>
      </c>
      <c r="O69" s="82">
        <f>(30%*(G69*H69/5*6.6*5.5)+(G69*H69/5*0.15*5.5*2))+70%*(G69*H69*5/100*6.6*7)+(G69*H69*5/100*0.15*7*2)</f>
        <v>76520.7</v>
      </c>
      <c r="P69" s="161">
        <v>1</v>
      </c>
      <c r="Q69" s="162">
        <v>1</v>
      </c>
      <c r="R69" s="162">
        <f t="shared" si="15"/>
        <v>1530000</v>
      </c>
      <c r="S69" s="162">
        <f t="shared" si="16"/>
        <v>1530000</v>
      </c>
      <c r="T69" s="161">
        <f t="shared" si="17"/>
        <v>0</v>
      </c>
      <c r="U69" s="153">
        <f t="shared" si="18"/>
        <v>1530000</v>
      </c>
    </row>
    <row r="70" spans="1:21" s="47" customFormat="1" ht="21.75" customHeight="1">
      <c r="A70" s="213">
        <v>6</v>
      </c>
      <c r="B70" s="214" t="s">
        <v>46</v>
      </c>
      <c r="C70" s="406" t="s">
        <v>179</v>
      </c>
      <c r="D70" s="281" t="s">
        <v>180</v>
      </c>
      <c r="E70" s="150" t="s">
        <v>20</v>
      </c>
      <c r="F70" s="150" t="s">
        <v>1116</v>
      </c>
      <c r="G70" s="161">
        <v>21</v>
      </c>
      <c r="H70" s="162">
        <f>57000/3</f>
        <v>19000</v>
      </c>
      <c r="I70" s="153">
        <v>2</v>
      </c>
      <c r="J70" s="304" t="s">
        <v>77</v>
      </c>
      <c r="K70" s="163">
        <v>1</v>
      </c>
      <c r="L70" s="163">
        <v>0</v>
      </c>
      <c r="M70" s="425">
        <f>G70*H70*5/100</f>
        <v>19950</v>
      </c>
      <c r="N70" s="426">
        <f>M70*0.15*7</f>
        <v>20947.5</v>
      </c>
      <c r="O70" s="426">
        <f aca="true" t="shared" si="19" ref="O70:O77">M70*7.7*7+N70*2</f>
        <v>1117200</v>
      </c>
      <c r="P70" s="161">
        <v>1</v>
      </c>
      <c r="Q70" s="162">
        <v>1</v>
      </c>
      <c r="R70" s="162">
        <f t="shared" si="15"/>
        <v>1530000</v>
      </c>
      <c r="S70" s="162">
        <f t="shared" si="16"/>
        <v>1530000</v>
      </c>
      <c r="T70" s="161">
        <f t="shared" si="17"/>
        <v>0</v>
      </c>
      <c r="U70" s="153">
        <f t="shared" si="18"/>
        <v>1530000</v>
      </c>
    </row>
    <row r="71" spans="1:21" s="47" customFormat="1" ht="21.75" customHeight="1">
      <c r="A71" s="213">
        <v>7</v>
      </c>
      <c r="B71" s="214" t="s">
        <v>46</v>
      </c>
      <c r="C71" s="406" t="s">
        <v>181</v>
      </c>
      <c r="D71" s="281" t="s">
        <v>180</v>
      </c>
      <c r="E71" s="150" t="s">
        <v>20</v>
      </c>
      <c r="F71" s="150" t="s">
        <v>1116</v>
      </c>
      <c r="G71" s="161">
        <v>21</v>
      </c>
      <c r="H71" s="162">
        <f>57000/3</f>
        <v>19000</v>
      </c>
      <c r="I71" s="153">
        <v>2</v>
      </c>
      <c r="J71" s="304" t="s">
        <v>77</v>
      </c>
      <c r="K71" s="163">
        <v>1</v>
      </c>
      <c r="L71" s="163">
        <v>0</v>
      </c>
      <c r="M71" s="425">
        <f>G71*H71*5/100</f>
        <v>19950</v>
      </c>
      <c r="N71" s="426">
        <f>M71*0.15*7</f>
        <v>20947.5</v>
      </c>
      <c r="O71" s="426">
        <f t="shared" si="19"/>
        <v>1117200</v>
      </c>
      <c r="P71" s="161">
        <v>1</v>
      </c>
      <c r="Q71" s="162">
        <v>1</v>
      </c>
      <c r="R71" s="162">
        <f t="shared" si="15"/>
        <v>1530000</v>
      </c>
      <c r="S71" s="162">
        <f t="shared" si="16"/>
        <v>1530000</v>
      </c>
      <c r="T71" s="161">
        <f t="shared" si="17"/>
        <v>0</v>
      </c>
      <c r="U71" s="153">
        <f t="shared" si="18"/>
        <v>1530000</v>
      </c>
    </row>
    <row r="72" spans="1:21" s="47" customFormat="1" ht="21.75" customHeight="1">
      <c r="A72" s="213">
        <v>8</v>
      </c>
      <c r="B72" s="214" t="s">
        <v>46</v>
      </c>
      <c r="C72" s="406" t="s">
        <v>182</v>
      </c>
      <c r="D72" s="281" t="s">
        <v>180</v>
      </c>
      <c r="E72" s="150" t="s">
        <v>20</v>
      </c>
      <c r="F72" s="150" t="s">
        <v>1116</v>
      </c>
      <c r="G72" s="161">
        <v>21</v>
      </c>
      <c r="H72" s="162">
        <f>57000/3</f>
        <v>19000</v>
      </c>
      <c r="I72" s="153">
        <v>2</v>
      </c>
      <c r="J72" s="304" t="s">
        <v>77</v>
      </c>
      <c r="K72" s="163">
        <v>1</v>
      </c>
      <c r="L72" s="163">
        <v>0</v>
      </c>
      <c r="M72" s="425">
        <f>G72*H72*5/100</f>
        <v>19950</v>
      </c>
      <c r="N72" s="426">
        <f>M72*0.15*7</f>
        <v>20947.5</v>
      </c>
      <c r="O72" s="426">
        <f t="shared" si="19"/>
        <v>1117200</v>
      </c>
      <c r="P72" s="161">
        <v>1</v>
      </c>
      <c r="Q72" s="162">
        <v>1</v>
      </c>
      <c r="R72" s="162">
        <f t="shared" si="15"/>
        <v>1530000</v>
      </c>
      <c r="S72" s="162">
        <f t="shared" si="16"/>
        <v>1530000</v>
      </c>
      <c r="T72" s="161">
        <f t="shared" si="17"/>
        <v>0</v>
      </c>
      <c r="U72" s="153">
        <f t="shared" si="18"/>
        <v>1530000</v>
      </c>
    </row>
    <row r="73" spans="1:21" s="47" customFormat="1" ht="21.75" customHeight="1">
      <c r="A73" s="213">
        <v>9</v>
      </c>
      <c r="B73" s="214" t="s">
        <v>17</v>
      </c>
      <c r="C73" s="405" t="s">
        <v>102</v>
      </c>
      <c r="D73" s="141" t="s">
        <v>103</v>
      </c>
      <c r="E73" s="150" t="s">
        <v>332</v>
      </c>
      <c r="F73" s="150"/>
      <c r="G73" s="161">
        <v>9</v>
      </c>
      <c r="H73" s="162">
        <v>450</v>
      </c>
      <c r="I73" s="153">
        <v>2</v>
      </c>
      <c r="J73" s="304" t="s">
        <v>25</v>
      </c>
      <c r="K73" s="163">
        <v>1</v>
      </c>
      <c r="L73" s="163">
        <v>0</v>
      </c>
      <c r="M73" s="425">
        <f>G73*H73/5</f>
        <v>810</v>
      </c>
      <c r="N73" s="426">
        <f>M73*0.15*5.5</f>
        <v>668.25</v>
      </c>
      <c r="O73" s="426">
        <f>M73*7.7*5.5+N73*2</f>
        <v>35640</v>
      </c>
      <c r="P73" s="161">
        <v>1</v>
      </c>
      <c r="Q73" s="162">
        <v>1</v>
      </c>
      <c r="R73" s="162">
        <f t="shared" si="15"/>
        <v>1530000</v>
      </c>
      <c r="S73" s="162">
        <f t="shared" si="16"/>
        <v>1530000</v>
      </c>
      <c r="T73" s="161">
        <f t="shared" si="17"/>
        <v>0</v>
      </c>
      <c r="U73" s="153">
        <f t="shared" si="18"/>
        <v>1530000</v>
      </c>
    </row>
    <row r="74" spans="1:21" s="47" customFormat="1" ht="21.75" customHeight="1">
      <c r="A74" s="213">
        <v>10</v>
      </c>
      <c r="B74" s="214" t="s">
        <v>46</v>
      </c>
      <c r="C74" s="405" t="s">
        <v>174</v>
      </c>
      <c r="D74" s="281" t="s">
        <v>175</v>
      </c>
      <c r="E74" s="150" t="s">
        <v>338</v>
      </c>
      <c r="F74" s="150"/>
      <c r="G74" s="161">
        <v>16</v>
      </c>
      <c r="H74" s="162">
        <v>1875</v>
      </c>
      <c r="I74" s="153">
        <v>2</v>
      </c>
      <c r="J74" s="304" t="s">
        <v>77</v>
      </c>
      <c r="K74" s="163">
        <v>1</v>
      </c>
      <c r="L74" s="163">
        <v>0</v>
      </c>
      <c r="M74" s="425">
        <f>G74*H74*5/100</f>
        <v>1500</v>
      </c>
      <c r="N74" s="426">
        <f>M74*0.15*7</f>
        <v>1575</v>
      </c>
      <c r="O74" s="426">
        <f t="shared" si="19"/>
        <v>84000</v>
      </c>
      <c r="P74" s="161">
        <v>1</v>
      </c>
      <c r="Q74" s="162">
        <v>1</v>
      </c>
      <c r="R74" s="162">
        <f t="shared" si="15"/>
        <v>1530000</v>
      </c>
      <c r="S74" s="162">
        <f t="shared" si="16"/>
        <v>1530000</v>
      </c>
      <c r="T74" s="161">
        <f t="shared" si="17"/>
        <v>0</v>
      </c>
      <c r="U74" s="153">
        <f t="shared" si="18"/>
        <v>1530000</v>
      </c>
    </row>
    <row r="75" spans="1:21" s="47" customFormat="1" ht="21.75" customHeight="1">
      <c r="A75" s="213">
        <v>11</v>
      </c>
      <c r="B75" s="214" t="s">
        <v>46</v>
      </c>
      <c r="C75" s="405" t="s">
        <v>176</v>
      </c>
      <c r="D75" s="281" t="s">
        <v>175</v>
      </c>
      <c r="E75" s="150" t="s">
        <v>338</v>
      </c>
      <c r="F75" s="150"/>
      <c r="G75" s="161">
        <v>16</v>
      </c>
      <c r="H75" s="162">
        <v>1875</v>
      </c>
      <c r="I75" s="153">
        <v>2</v>
      </c>
      <c r="J75" s="304" t="s">
        <v>77</v>
      </c>
      <c r="K75" s="163">
        <v>1</v>
      </c>
      <c r="L75" s="163">
        <v>0</v>
      </c>
      <c r="M75" s="425">
        <f>G75*H75*5/100</f>
        <v>1500</v>
      </c>
      <c r="N75" s="426">
        <f>M75*0.15*7</f>
        <v>1575</v>
      </c>
      <c r="O75" s="426">
        <f t="shared" si="19"/>
        <v>84000</v>
      </c>
      <c r="P75" s="161">
        <v>1</v>
      </c>
      <c r="Q75" s="162">
        <v>1</v>
      </c>
      <c r="R75" s="162">
        <f t="shared" si="15"/>
        <v>1530000</v>
      </c>
      <c r="S75" s="162">
        <f t="shared" si="16"/>
        <v>1530000</v>
      </c>
      <c r="T75" s="161">
        <f t="shared" si="17"/>
        <v>0</v>
      </c>
      <c r="U75" s="153">
        <f t="shared" si="18"/>
        <v>1530000</v>
      </c>
    </row>
    <row r="76" spans="1:21" s="47" customFormat="1" ht="21.75" customHeight="1">
      <c r="A76" s="213">
        <v>12</v>
      </c>
      <c r="B76" s="214" t="s">
        <v>46</v>
      </c>
      <c r="C76" s="405" t="s">
        <v>177</v>
      </c>
      <c r="D76" s="281" t="s">
        <v>175</v>
      </c>
      <c r="E76" s="150" t="s">
        <v>338</v>
      </c>
      <c r="F76" s="150"/>
      <c r="G76" s="161">
        <v>16</v>
      </c>
      <c r="H76" s="162">
        <v>1875</v>
      </c>
      <c r="I76" s="153">
        <v>2</v>
      </c>
      <c r="J76" s="304" t="s">
        <v>77</v>
      </c>
      <c r="K76" s="163">
        <v>1</v>
      </c>
      <c r="L76" s="163">
        <v>0</v>
      </c>
      <c r="M76" s="425">
        <f>G76*H76*5/100</f>
        <v>1500</v>
      </c>
      <c r="N76" s="426">
        <f>M76*0.15*7</f>
        <v>1575</v>
      </c>
      <c r="O76" s="426">
        <f t="shared" si="19"/>
        <v>84000</v>
      </c>
      <c r="P76" s="161">
        <v>1</v>
      </c>
      <c r="Q76" s="162">
        <v>1</v>
      </c>
      <c r="R76" s="162">
        <f t="shared" si="15"/>
        <v>1530000</v>
      </c>
      <c r="S76" s="162">
        <f t="shared" si="16"/>
        <v>1530000</v>
      </c>
      <c r="T76" s="161">
        <f t="shared" si="17"/>
        <v>0</v>
      </c>
      <c r="U76" s="153">
        <f t="shared" si="18"/>
        <v>1530000</v>
      </c>
    </row>
    <row r="77" spans="1:21" s="47" customFormat="1" ht="21.75" customHeight="1">
      <c r="A77" s="213">
        <v>13</v>
      </c>
      <c r="B77" s="214" t="s">
        <v>46</v>
      </c>
      <c r="C77" s="405" t="s">
        <v>178</v>
      </c>
      <c r="D77" s="281" t="s">
        <v>175</v>
      </c>
      <c r="E77" s="150" t="s">
        <v>338</v>
      </c>
      <c r="F77" s="150"/>
      <c r="G77" s="161">
        <v>16</v>
      </c>
      <c r="H77" s="162">
        <v>1875</v>
      </c>
      <c r="I77" s="153">
        <v>2</v>
      </c>
      <c r="J77" s="304" t="s">
        <v>77</v>
      </c>
      <c r="K77" s="163">
        <v>1</v>
      </c>
      <c r="L77" s="163">
        <v>0</v>
      </c>
      <c r="M77" s="425">
        <f>G77*H77*5/100</f>
        <v>1500</v>
      </c>
      <c r="N77" s="426">
        <f>M77*0.15*7</f>
        <v>1575</v>
      </c>
      <c r="O77" s="426">
        <f t="shared" si="19"/>
        <v>84000</v>
      </c>
      <c r="P77" s="161">
        <v>1</v>
      </c>
      <c r="Q77" s="162">
        <v>1</v>
      </c>
      <c r="R77" s="162">
        <f t="shared" si="15"/>
        <v>1530000</v>
      </c>
      <c r="S77" s="162">
        <f t="shared" si="16"/>
        <v>1530000</v>
      </c>
      <c r="T77" s="161">
        <f t="shared" si="17"/>
        <v>0</v>
      </c>
      <c r="U77" s="153">
        <f t="shared" si="18"/>
        <v>1530000</v>
      </c>
    </row>
    <row r="78" spans="1:21" s="47" customFormat="1" ht="21.75" customHeight="1">
      <c r="A78" s="213">
        <v>14</v>
      </c>
      <c r="B78" s="214" t="s">
        <v>17</v>
      </c>
      <c r="C78" s="405" t="s">
        <v>104</v>
      </c>
      <c r="D78" s="141" t="s">
        <v>105</v>
      </c>
      <c r="E78" s="150" t="s">
        <v>20</v>
      </c>
      <c r="F78" s="150"/>
      <c r="G78" s="161">
        <v>8</v>
      </c>
      <c r="H78" s="162">
        <v>250</v>
      </c>
      <c r="I78" s="153">
        <v>1</v>
      </c>
      <c r="J78" s="304" t="s">
        <v>77</v>
      </c>
      <c r="K78" s="163">
        <v>1</v>
      </c>
      <c r="L78" s="163">
        <v>0</v>
      </c>
      <c r="M78" s="425">
        <f>G78*H78/5</f>
        <v>400</v>
      </c>
      <c r="N78" s="426">
        <f>M78*0.15*5.5</f>
        <v>330</v>
      </c>
      <c r="O78" s="426">
        <f>M78*7.7*5.5+N78*2</f>
        <v>17600</v>
      </c>
      <c r="P78" s="161">
        <v>1</v>
      </c>
      <c r="Q78" s="162">
        <v>1</v>
      </c>
      <c r="R78" s="162">
        <f t="shared" si="15"/>
        <v>1530000</v>
      </c>
      <c r="S78" s="162">
        <f t="shared" si="16"/>
        <v>1530000</v>
      </c>
      <c r="T78" s="161">
        <f t="shared" si="17"/>
        <v>0</v>
      </c>
      <c r="U78" s="153">
        <f t="shared" si="18"/>
        <v>1530000</v>
      </c>
    </row>
    <row r="79" spans="1:21" s="47" customFormat="1" ht="21.75" customHeight="1">
      <c r="A79" s="213">
        <v>15</v>
      </c>
      <c r="B79" s="214" t="s">
        <v>17</v>
      </c>
      <c r="C79" s="405" t="s">
        <v>1501</v>
      </c>
      <c r="D79" s="141" t="s">
        <v>106</v>
      </c>
      <c r="E79" s="150" t="s">
        <v>24</v>
      </c>
      <c r="F79" s="150"/>
      <c r="G79" s="161">
        <v>11</v>
      </c>
      <c r="H79" s="162">
        <v>320</v>
      </c>
      <c r="I79" s="153">
        <v>2</v>
      </c>
      <c r="J79" s="304" t="s">
        <v>62</v>
      </c>
      <c r="K79" s="163">
        <v>1</v>
      </c>
      <c r="L79" s="163">
        <v>0</v>
      </c>
      <c r="M79" s="425">
        <f>G79*H79/5</f>
        <v>704</v>
      </c>
      <c r="N79" s="426">
        <f>M79*0.15*5.5</f>
        <v>580.8</v>
      </c>
      <c r="O79" s="426">
        <f>M79*7.7*5.5+N79*2</f>
        <v>30976</v>
      </c>
      <c r="P79" s="161">
        <v>1</v>
      </c>
      <c r="Q79" s="162">
        <v>1</v>
      </c>
      <c r="R79" s="162">
        <f t="shared" si="15"/>
        <v>1530000</v>
      </c>
      <c r="S79" s="162">
        <f t="shared" si="16"/>
        <v>1530000</v>
      </c>
      <c r="T79" s="161">
        <f t="shared" si="17"/>
        <v>0</v>
      </c>
      <c r="U79" s="153">
        <f t="shared" si="18"/>
        <v>1530000</v>
      </c>
    </row>
    <row r="80" spans="1:21" s="47" customFormat="1" ht="21.75" customHeight="1">
      <c r="A80" s="213">
        <v>16</v>
      </c>
      <c r="B80" s="214" t="s">
        <v>17</v>
      </c>
      <c r="C80" s="354" t="s">
        <v>775</v>
      </c>
      <c r="D80" s="280" t="s">
        <v>108</v>
      </c>
      <c r="E80" s="150" t="s">
        <v>332</v>
      </c>
      <c r="F80" s="150"/>
      <c r="G80" s="162">
        <v>14</v>
      </c>
      <c r="H80" s="162">
        <v>700</v>
      </c>
      <c r="I80" s="162">
        <v>4</v>
      </c>
      <c r="J80" s="304" t="s">
        <v>62</v>
      </c>
      <c r="K80" s="163">
        <v>1</v>
      </c>
      <c r="L80" s="163">
        <v>0</v>
      </c>
      <c r="M80" s="425">
        <f>G80*H80/5</f>
        <v>1960</v>
      </c>
      <c r="N80" s="426">
        <f>M80*0.15*5.5</f>
        <v>1617</v>
      </c>
      <c r="O80" s="426">
        <f>M80*7.7*5.5+N80*2</f>
        <v>86240</v>
      </c>
      <c r="P80" s="161">
        <v>1</v>
      </c>
      <c r="Q80" s="162">
        <v>1</v>
      </c>
      <c r="R80" s="162">
        <f t="shared" si="15"/>
        <v>1530000</v>
      </c>
      <c r="S80" s="162">
        <f t="shared" si="16"/>
        <v>1530000</v>
      </c>
      <c r="T80" s="161">
        <f t="shared" si="17"/>
        <v>0</v>
      </c>
      <c r="U80" s="153">
        <f t="shared" si="18"/>
        <v>1530000</v>
      </c>
    </row>
    <row r="81" spans="1:21" s="47" customFormat="1" ht="21.75" customHeight="1">
      <c r="A81" s="213">
        <v>17</v>
      </c>
      <c r="B81" s="214" t="s">
        <v>46</v>
      </c>
      <c r="C81" s="405" t="s">
        <v>109</v>
      </c>
      <c r="D81" s="141" t="s">
        <v>110</v>
      </c>
      <c r="E81" s="150" t="s">
        <v>111</v>
      </c>
      <c r="F81" s="150"/>
      <c r="G81" s="161">
        <v>19</v>
      </c>
      <c r="H81" s="162">
        <v>2000</v>
      </c>
      <c r="I81" s="153">
        <v>2</v>
      </c>
      <c r="J81" s="304" t="s">
        <v>21</v>
      </c>
      <c r="K81" s="163">
        <v>1</v>
      </c>
      <c r="L81" s="163">
        <v>0</v>
      </c>
      <c r="M81" s="425">
        <f aca="true" t="shared" si="20" ref="M81:M89">G81*H81*5/100</f>
        <v>1900</v>
      </c>
      <c r="N81" s="426">
        <f aca="true" t="shared" si="21" ref="N81:N92">M81*0.15*7</f>
        <v>1995</v>
      </c>
      <c r="O81" s="426">
        <f aca="true" t="shared" si="22" ref="O81:O92">M81*7.7*7+N81*2</f>
        <v>106400</v>
      </c>
      <c r="P81" s="161">
        <v>1</v>
      </c>
      <c r="Q81" s="162">
        <v>1</v>
      </c>
      <c r="R81" s="162">
        <f t="shared" si="15"/>
        <v>1530000</v>
      </c>
      <c r="S81" s="162">
        <f t="shared" si="16"/>
        <v>1530000</v>
      </c>
      <c r="T81" s="161">
        <f t="shared" si="17"/>
        <v>0</v>
      </c>
      <c r="U81" s="153">
        <f t="shared" si="18"/>
        <v>1530000</v>
      </c>
    </row>
    <row r="82" spans="1:21" s="47" customFormat="1" ht="21.75" customHeight="1">
      <c r="A82" s="213">
        <v>18</v>
      </c>
      <c r="B82" s="214" t="s">
        <v>46</v>
      </c>
      <c r="C82" s="407" t="s">
        <v>112</v>
      </c>
      <c r="D82" s="281" t="s">
        <v>113</v>
      </c>
      <c r="E82" s="150" t="s">
        <v>114</v>
      </c>
      <c r="F82" s="150"/>
      <c r="G82" s="161">
        <v>27</v>
      </c>
      <c r="H82" s="162">
        <f aca="true" t="shared" si="23" ref="H82:H87">45000/6</f>
        <v>7500</v>
      </c>
      <c r="I82" s="153">
        <v>2</v>
      </c>
      <c r="J82" s="304" t="s">
        <v>77</v>
      </c>
      <c r="K82" s="163">
        <v>1</v>
      </c>
      <c r="L82" s="163">
        <v>0</v>
      </c>
      <c r="M82" s="425">
        <f t="shared" si="20"/>
        <v>10125</v>
      </c>
      <c r="N82" s="426">
        <f t="shared" si="21"/>
        <v>10631.25</v>
      </c>
      <c r="O82" s="426">
        <f t="shared" si="22"/>
        <v>567000</v>
      </c>
      <c r="P82" s="161">
        <v>1</v>
      </c>
      <c r="Q82" s="162">
        <v>1</v>
      </c>
      <c r="R82" s="162">
        <f t="shared" si="15"/>
        <v>1530000</v>
      </c>
      <c r="S82" s="162">
        <f t="shared" si="16"/>
        <v>1530000</v>
      </c>
      <c r="T82" s="161">
        <f t="shared" si="17"/>
        <v>0</v>
      </c>
      <c r="U82" s="153">
        <f t="shared" si="18"/>
        <v>1530000</v>
      </c>
    </row>
    <row r="83" spans="1:21" s="47" customFormat="1" ht="21.75" customHeight="1">
      <c r="A83" s="213">
        <v>19</v>
      </c>
      <c r="B83" s="214" t="s">
        <v>46</v>
      </c>
      <c r="C83" s="407" t="s">
        <v>115</v>
      </c>
      <c r="D83" s="281" t="s">
        <v>116</v>
      </c>
      <c r="E83" s="150" t="s">
        <v>114</v>
      </c>
      <c r="F83" s="150"/>
      <c r="G83" s="161">
        <v>27</v>
      </c>
      <c r="H83" s="162">
        <f t="shared" si="23"/>
        <v>7500</v>
      </c>
      <c r="I83" s="153">
        <v>2</v>
      </c>
      <c r="J83" s="304" t="s">
        <v>77</v>
      </c>
      <c r="K83" s="163">
        <v>1</v>
      </c>
      <c r="L83" s="163">
        <v>0</v>
      </c>
      <c r="M83" s="425">
        <f t="shared" si="20"/>
        <v>10125</v>
      </c>
      <c r="N83" s="426">
        <f t="shared" si="21"/>
        <v>10631.25</v>
      </c>
      <c r="O83" s="426">
        <f t="shared" si="22"/>
        <v>567000</v>
      </c>
      <c r="P83" s="161">
        <v>1</v>
      </c>
      <c r="Q83" s="162">
        <v>1</v>
      </c>
      <c r="R83" s="162">
        <f t="shared" si="15"/>
        <v>1530000</v>
      </c>
      <c r="S83" s="162">
        <f t="shared" si="16"/>
        <v>1530000</v>
      </c>
      <c r="T83" s="161">
        <f t="shared" si="17"/>
        <v>0</v>
      </c>
      <c r="U83" s="153">
        <f t="shared" si="18"/>
        <v>1530000</v>
      </c>
    </row>
    <row r="84" spans="1:21" s="47" customFormat="1" ht="21.75" customHeight="1">
      <c r="A84" s="213">
        <v>20</v>
      </c>
      <c r="B84" s="214" t="s">
        <v>46</v>
      </c>
      <c r="C84" s="407" t="s">
        <v>117</v>
      </c>
      <c r="D84" s="281" t="s">
        <v>113</v>
      </c>
      <c r="E84" s="150" t="s">
        <v>114</v>
      </c>
      <c r="F84" s="150"/>
      <c r="G84" s="161">
        <v>27</v>
      </c>
      <c r="H84" s="162">
        <f t="shared" si="23"/>
        <v>7500</v>
      </c>
      <c r="I84" s="153">
        <v>2</v>
      </c>
      <c r="J84" s="304" t="s">
        <v>77</v>
      </c>
      <c r="K84" s="163">
        <v>1</v>
      </c>
      <c r="L84" s="163">
        <v>0</v>
      </c>
      <c r="M84" s="425">
        <f t="shared" si="20"/>
        <v>10125</v>
      </c>
      <c r="N84" s="426">
        <f t="shared" si="21"/>
        <v>10631.25</v>
      </c>
      <c r="O84" s="426">
        <f t="shared" si="22"/>
        <v>567000</v>
      </c>
      <c r="P84" s="161">
        <v>1</v>
      </c>
      <c r="Q84" s="162">
        <v>1</v>
      </c>
      <c r="R84" s="162">
        <f t="shared" si="15"/>
        <v>1530000</v>
      </c>
      <c r="S84" s="162">
        <f t="shared" si="16"/>
        <v>1530000</v>
      </c>
      <c r="T84" s="161">
        <f t="shared" si="17"/>
        <v>0</v>
      </c>
      <c r="U84" s="153">
        <f t="shared" si="18"/>
        <v>1530000</v>
      </c>
    </row>
    <row r="85" spans="1:21" s="47" customFormat="1" ht="21.75" customHeight="1">
      <c r="A85" s="213">
        <v>21</v>
      </c>
      <c r="B85" s="214" t="s">
        <v>46</v>
      </c>
      <c r="C85" s="407" t="s">
        <v>118</v>
      </c>
      <c r="D85" s="281" t="s">
        <v>119</v>
      </c>
      <c r="E85" s="150" t="s">
        <v>114</v>
      </c>
      <c r="F85" s="150"/>
      <c r="G85" s="161">
        <v>27</v>
      </c>
      <c r="H85" s="162">
        <f t="shared" si="23"/>
        <v>7500</v>
      </c>
      <c r="I85" s="153">
        <v>2</v>
      </c>
      <c r="J85" s="304" t="s">
        <v>77</v>
      </c>
      <c r="K85" s="163">
        <v>1</v>
      </c>
      <c r="L85" s="163">
        <v>0</v>
      </c>
      <c r="M85" s="425">
        <f t="shared" si="20"/>
        <v>10125</v>
      </c>
      <c r="N85" s="426">
        <f t="shared" si="21"/>
        <v>10631.25</v>
      </c>
      <c r="O85" s="426">
        <f t="shared" si="22"/>
        <v>567000</v>
      </c>
      <c r="P85" s="161">
        <v>1</v>
      </c>
      <c r="Q85" s="162">
        <v>1</v>
      </c>
      <c r="R85" s="162">
        <f t="shared" si="15"/>
        <v>1530000</v>
      </c>
      <c r="S85" s="162">
        <f t="shared" si="16"/>
        <v>1530000</v>
      </c>
      <c r="T85" s="161">
        <f t="shared" si="17"/>
        <v>0</v>
      </c>
      <c r="U85" s="153">
        <f t="shared" si="18"/>
        <v>1530000</v>
      </c>
    </row>
    <row r="86" spans="1:21" s="47" customFormat="1" ht="21.75" customHeight="1">
      <c r="A86" s="213">
        <v>22</v>
      </c>
      <c r="B86" s="214" t="s">
        <v>46</v>
      </c>
      <c r="C86" s="407" t="s">
        <v>120</v>
      </c>
      <c r="D86" s="281" t="s">
        <v>119</v>
      </c>
      <c r="E86" s="150" t="s">
        <v>114</v>
      </c>
      <c r="F86" s="150"/>
      <c r="G86" s="161">
        <v>27</v>
      </c>
      <c r="H86" s="162">
        <f t="shared" si="23"/>
        <v>7500</v>
      </c>
      <c r="I86" s="153">
        <v>2</v>
      </c>
      <c r="J86" s="304" t="s">
        <v>77</v>
      </c>
      <c r="K86" s="163">
        <v>1</v>
      </c>
      <c r="L86" s="163">
        <v>0</v>
      </c>
      <c r="M86" s="425">
        <f t="shared" si="20"/>
        <v>10125</v>
      </c>
      <c r="N86" s="426">
        <f t="shared" si="21"/>
        <v>10631.25</v>
      </c>
      <c r="O86" s="426">
        <f t="shared" si="22"/>
        <v>567000</v>
      </c>
      <c r="P86" s="161">
        <v>1</v>
      </c>
      <c r="Q86" s="162">
        <v>1</v>
      </c>
      <c r="R86" s="162">
        <f t="shared" si="15"/>
        <v>1530000</v>
      </c>
      <c r="S86" s="162">
        <f t="shared" si="16"/>
        <v>1530000</v>
      </c>
      <c r="T86" s="161">
        <f t="shared" si="17"/>
        <v>0</v>
      </c>
      <c r="U86" s="153">
        <f t="shared" si="18"/>
        <v>1530000</v>
      </c>
    </row>
    <row r="87" spans="1:21" s="47" customFormat="1" ht="21.75" customHeight="1">
      <c r="A87" s="213">
        <v>23</v>
      </c>
      <c r="B87" s="214" t="s">
        <v>46</v>
      </c>
      <c r="C87" s="407" t="s">
        <v>121</v>
      </c>
      <c r="D87" s="281" t="s">
        <v>119</v>
      </c>
      <c r="E87" s="150" t="s">
        <v>114</v>
      </c>
      <c r="F87" s="150"/>
      <c r="G87" s="161">
        <v>27</v>
      </c>
      <c r="H87" s="162">
        <f t="shared" si="23"/>
        <v>7500</v>
      </c>
      <c r="I87" s="153">
        <v>2</v>
      </c>
      <c r="J87" s="304" t="s">
        <v>77</v>
      </c>
      <c r="K87" s="163">
        <v>1</v>
      </c>
      <c r="L87" s="163">
        <v>0</v>
      </c>
      <c r="M87" s="425">
        <f t="shared" si="20"/>
        <v>10125</v>
      </c>
      <c r="N87" s="426">
        <f t="shared" si="21"/>
        <v>10631.25</v>
      </c>
      <c r="O87" s="426">
        <f t="shared" si="22"/>
        <v>567000</v>
      </c>
      <c r="P87" s="161">
        <v>1</v>
      </c>
      <c r="Q87" s="162">
        <v>1</v>
      </c>
      <c r="R87" s="162">
        <f t="shared" si="15"/>
        <v>1530000</v>
      </c>
      <c r="S87" s="162">
        <f t="shared" si="16"/>
        <v>1530000</v>
      </c>
      <c r="T87" s="161">
        <f t="shared" si="17"/>
        <v>0</v>
      </c>
      <c r="U87" s="153">
        <f t="shared" si="18"/>
        <v>1530000</v>
      </c>
    </row>
    <row r="88" spans="1:21" s="47" customFormat="1" ht="21.75" customHeight="1">
      <c r="A88" s="213">
        <v>24</v>
      </c>
      <c r="B88" s="214" t="s">
        <v>46</v>
      </c>
      <c r="C88" s="405" t="s">
        <v>122</v>
      </c>
      <c r="D88" s="141" t="s">
        <v>123</v>
      </c>
      <c r="E88" s="150" t="s">
        <v>335</v>
      </c>
      <c r="F88" s="150"/>
      <c r="G88" s="161">
        <v>14</v>
      </c>
      <c r="H88" s="162">
        <v>1520</v>
      </c>
      <c r="I88" s="153">
        <v>2</v>
      </c>
      <c r="J88" s="304" t="s">
        <v>62</v>
      </c>
      <c r="K88" s="163">
        <v>1</v>
      </c>
      <c r="L88" s="163">
        <v>0</v>
      </c>
      <c r="M88" s="425">
        <f t="shared" si="20"/>
        <v>1064</v>
      </c>
      <c r="N88" s="426">
        <f t="shared" si="21"/>
        <v>1117.2</v>
      </c>
      <c r="O88" s="426">
        <f t="shared" si="22"/>
        <v>59584.00000000001</v>
      </c>
      <c r="P88" s="161">
        <v>1</v>
      </c>
      <c r="Q88" s="162">
        <v>1</v>
      </c>
      <c r="R88" s="162">
        <f t="shared" si="15"/>
        <v>1530000</v>
      </c>
      <c r="S88" s="162">
        <f t="shared" si="16"/>
        <v>1530000</v>
      </c>
      <c r="T88" s="161">
        <f t="shared" si="17"/>
        <v>0</v>
      </c>
      <c r="U88" s="153">
        <f t="shared" si="18"/>
        <v>1530000</v>
      </c>
    </row>
    <row r="89" spans="1:21" s="47" customFormat="1" ht="21.75" customHeight="1">
      <c r="A89" s="213">
        <v>25</v>
      </c>
      <c r="B89" s="214" t="s">
        <v>46</v>
      </c>
      <c r="C89" s="405" t="s">
        <v>124</v>
      </c>
      <c r="D89" s="141" t="s">
        <v>123</v>
      </c>
      <c r="E89" s="150" t="s">
        <v>335</v>
      </c>
      <c r="F89" s="150"/>
      <c r="G89" s="161">
        <v>14</v>
      </c>
      <c r="H89" s="162">
        <v>1520</v>
      </c>
      <c r="I89" s="153">
        <v>2</v>
      </c>
      <c r="J89" s="304" t="s">
        <v>62</v>
      </c>
      <c r="K89" s="163">
        <v>1</v>
      </c>
      <c r="L89" s="163">
        <v>0</v>
      </c>
      <c r="M89" s="425">
        <f t="shared" si="20"/>
        <v>1064</v>
      </c>
      <c r="N89" s="426">
        <f t="shared" si="21"/>
        <v>1117.2</v>
      </c>
      <c r="O89" s="426">
        <f t="shared" si="22"/>
        <v>59584.00000000001</v>
      </c>
      <c r="P89" s="161">
        <v>1</v>
      </c>
      <c r="Q89" s="162">
        <v>1</v>
      </c>
      <c r="R89" s="162">
        <f t="shared" si="15"/>
        <v>1530000</v>
      </c>
      <c r="S89" s="162">
        <f t="shared" si="16"/>
        <v>1530000</v>
      </c>
      <c r="T89" s="161">
        <f t="shared" si="17"/>
        <v>0</v>
      </c>
      <c r="U89" s="153">
        <f t="shared" si="18"/>
        <v>1530000</v>
      </c>
    </row>
    <row r="90" spans="1:21" s="47" customFormat="1" ht="21.75" customHeight="1">
      <c r="A90" s="213">
        <v>26</v>
      </c>
      <c r="B90" s="214" t="s">
        <v>17</v>
      </c>
      <c r="C90" s="354" t="s">
        <v>127</v>
      </c>
      <c r="D90" s="280" t="s">
        <v>128</v>
      </c>
      <c r="E90" s="150" t="s">
        <v>20</v>
      </c>
      <c r="F90" s="150"/>
      <c r="G90" s="161">
        <v>7</v>
      </c>
      <c r="H90" s="162">
        <v>550</v>
      </c>
      <c r="I90" s="153">
        <v>2</v>
      </c>
      <c r="J90" s="304" t="s">
        <v>129</v>
      </c>
      <c r="K90" s="163">
        <v>1</v>
      </c>
      <c r="L90" s="163">
        <v>1</v>
      </c>
      <c r="M90" s="425">
        <f aca="true" t="shared" si="24" ref="M90:M97">G90*H90/5</f>
        <v>770</v>
      </c>
      <c r="N90" s="426">
        <f t="shared" si="21"/>
        <v>808.5</v>
      </c>
      <c r="O90" s="426">
        <f t="shared" si="22"/>
        <v>43120</v>
      </c>
      <c r="P90" s="161">
        <v>1</v>
      </c>
      <c r="Q90" s="162">
        <v>1</v>
      </c>
      <c r="R90" s="162">
        <f t="shared" si="15"/>
        <v>1530000</v>
      </c>
      <c r="S90" s="162">
        <f t="shared" si="16"/>
        <v>1530000</v>
      </c>
      <c r="T90" s="161">
        <f t="shared" si="17"/>
        <v>1530000</v>
      </c>
      <c r="U90" s="153">
        <f t="shared" si="18"/>
        <v>3060000</v>
      </c>
    </row>
    <row r="91" spans="1:21" s="47" customFormat="1" ht="21.75" customHeight="1">
      <c r="A91" s="213">
        <v>27</v>
      </c>
      <c r="B91" s="214" t="s">
        <v>17</v>
      </c>
      <c r="C91" s="354" t="s">
        <v>130</v>
      </c>
      <c r="D91" s="280" t="s">
        <v>131</v>
      </c>
      <c r="E91" s="150" t="s">
        <v>91</v>
      </c>
      <c r="F91" s="150" t="s">
        <v>1117</v>
      </c>
      <c r="G91" s="161">
        <v>12</v>
      </c>
      <c r="H91" s="162">
        <v>600</v>
      </c>
      <c r="I91" s="153">
        <v>2</v>
      </c>
      <c r="J91" s="304" t="s">
        <v>25</v>
      </c>
      <c r="K91" s="163">
        <v>1</v>
      </c>
      <c r="L91" s="163">
        <v>0</v>
      </c>
      <c r="M91" s="425">
        <f t="shared" si="24"/>
        <v>1440</v>
      </c>
      <c r="N91" s="426">
        <f t="shared" si="21"/>
        <v>1512</v>
      </c>
      <c r="O91" s="426">
        <f t="shared" si="22"/>
        <v>80640</v>
      </c>
      <c r="P91" s="161">
        <v>1</v>
      </c>
      <c r="Q91" s="162">
        <v>1</v>
      </c>
      <c r="R91" s="162">
        <f t="shared" si="15"/>
        <v>1530000</v>
      </c>
      <c r="S91" s="162">
        <f t="shared" si="16"/>
        <v>1530000</v>
      </c>
      <c r="T91" s="161">
        <f t="shared" si="17"/>
        <v>0</v>
      </c>
      <c r="U91" s="153">
        <f t="shared" si="18"/>
        <v>1530000</v>
      </c>
    </row>
    <row r="92" spans="1:21" s="47" customFormat="1" ht="21.75" customHeight="1">
      <c r="A92" s="213">
        <v>28</v>
      </c>
      <c r="B92" s="214" t="s">
        <v>17</v>
      </c>
      <c r="C92" s="405" t="s">
        <v>132</v>
      </c>
      <c r="D92" s="141" t="s">
        <v>133</v>
      </c>
      <c r="E92" s="150" t="s">
        <v>24</v>
      </c>
      <c r="F92" s="150"/>
      <c r="G92" s="161">
        <v>13</v>
      </c>
      <c r="H92" s="162">
        <v>520</v>
      </c>
      <c r="I92" s="153">
        <v>3</v>
      </c>
      <c r="J92" s="304" t="s">
        <v>25</v>
      </c>
      <c r="K92" s="163">
        <v>1</v>
      </c>
      <c r="L92" s="163">
        <v>0</v>
      </c>
      <c r="M92" s="425">
        <f t="shared" si="24"/>
        <v>1352</v>
      </c>
      <c r="N92" s="426">
        <f t="shared" si="21"/>
        <v>1419.6</v>
      </c>
      <c r="O92" s="426">
        <f t="shared" si="22"/>
        <v>75712</v>
      </c>
      <c r="P92" s="161">
        <v>1</v>
      </c>
      <c r="Q92" s="162">
        <v>1</v>
      </c>
      <c r="R92" s="162">
        <f t="shared" si="15"/>
        <v>1530000</v>
      </c>
      <c r="S92" s="162">
        <f t="shared" si="16"/>
        <v>1530000</v>
      </c>
      <c r="T92" s="161">
        <f t="shared" si="17"/>
        <v>0</v>
      </c>
      <c r="U92" s="153">
        <f t="shared" si="18"/>
        <v>1530000</v>
      </c>
    </row>
    <row r="93" spans="1:21" s="47" customFormat="1" ht="21.75" customHeight="1">
      <c r="A93" s="213">
        <v>29</v>
      </c>
      <c r="B93" s="214" t="s">
        <v>17</v>
      </c>
      <c r="C93" s="354" t="s">
        <v>1447</v>
      </c>
      <c r="D93" s="280" t="s">
        <v>134</v>
      </c>
      <c r="E93" s="150" t="s">
        <v>20</v>
      </c>
      <c r="F93" s="150" t="s">
        <v>1120</v>
      </c>
      <c r="G93" s="161">
        <v>12</v>
      </c>
      <c r="H93" s="162">
        <v>250</v>
      </c>
      <c r="I93" s="153">
        <v>2</v>
      </c>
      <c r="J93" s="304" t="s">
        <v>77</v>
      </c>
      <c r="K93" s="163">
        <v>1</v>
      </c>
      <c r="L93" s="163">
        <v>0</v>
      </c>
      <c r="M93" s="425">
        <f t="shared" si="24"/>
        <v>600</v>
      </c>
      <c r="N93" s="426">
        <f>M93*0.15*7</f>
        <v>630</v>
      </c>
      <c r="O93" s="426">
        <f>M93*7.7*7+N93*2</f>
        <v>33600</v>
      </c>
      <c r="P93" s="161">
        <v>1</v>
      </c>
      <c r="Q93" s="162">
        <v>1</v>
      </c>
      <c r="R93" s="162">
        <f t="shared" si="15"/>
        <v>1530000</v>
      </c>
      <c r="S93" s="162">
        <f t="shared" si="16"/>
        <v>1530000</v>
      </c>
      <c r="T93" s="161">
        <f t="shared" si="17"/>
        <v>0</v>
      </c>
      <c r="U93" s="153">
        <f t="shared" si="18"/>
        <v>1530000</v>
      </c>
    </row>
    <row r="94" spans="1:21" s="47" customFormat="1" ht="21.75" customHeight="1">
      <c r="A94" s="213">
        <v>30</v>
      </c>
      <c r="B94" s="214" t="s">
        <v>46</v>
      </c>
      <c r="C94" s="354" t="s">
        <v>135</v>
      </c>
      <c r="D94" s="280" t="s">
        <v>136</v>
      </c>
      <c r="E94" s="150" t="s">
        <v>107</v>
      </c>
      <c r="F94" s="150"/>
      <c r="G94" s="161">
        <v>20</v>
      </c>
      <c r="H94" s="162">
        <v>5000</v>
      </c>
      <c r="I94" s="153">
        <v>4</v>
      </c>
      <c r="J94" s="304" t="s">
        <v>43</v>
      </c>
      <c r="K94" s="163">
        <v>1</v>
      </c>
      <c r="L94" s="163">
        <v>0</v>
      </c>
      <c r="M94" s="425">
        <f t="shared" si="24"/>
        <v>20000</v>
      </c>
      <c r="N94" s="426">
        <f>M94*0.15*5.5</f>
        <v>16500</v>
      </c>
      <c r="O94" s="426">
        <f>M94*7.7*5.5+N94*2</f>
        <v>880000</v>
      </c>
      <c r="P94" s="161">
        <v>1</v>
      </c>
      <c r="Q94" s="162">
        <v>1</v>
      </c>
      <c r="R94" s="162">
        <f t="shared" si="15"/>
        <v>1530000</v>
      </c>
      <c r="S94" s="162">
        <f t="shared" si="16"/>
        <v>1530000</v>
      </c>
      <c r="T94" s="161">
        <f t="shared" si="17"/>
        <v>0</v>
      </c>
      <c r="U94" s="153">
        <f t="shared" si="18"/>
        <v>1530000</v>
      </c>
    </row>
    <row r="95" spans="1:21" s="47" customFormat="1" ht="21.75" customHeight="1">
      <c r="A95" s="213">
        <v>31</v>
      </c>
      <c r="B95" s="214" t="s">
        <v>17</v>
      </c>
      <c r="C95" s="354" t="s">
        <v>137</v>
      </c>
      <c r="D95" s="280" t="s">
        <v>136</v>
      </c>
      <c r="E95" s="150" t="s">
        <v>107</v>
      </c>
      <c r="F95" s="150"/>
      <c r="G95" s="161">
        <v>20</v>
      </c>
      <c r="H95" s="162">
        <v>5000</v>
      </c>
      <c r="I95" s="153">
        <v>2</v>
      </c>
      <c r="J95" s="304" t="s">
        <v>62</v>
      </c>
      <c r="K95" s="163">
        <v>1</v>
      </c>
      <c r="L95" s="163">
        <v>0</v>
      </c>
      <c r="M95" s="425">
        <f t="shared" si="24"/>
        <v>20000</v>
      </c>
      <c r="N95" s="426">
        <f>M95*0.15*5.5</f>
        <v>16500</v>
      </c>
      <c r="O95" s="426">
        <f>M95*7.7*5.5+N95*2</f>
        <v>880000</v>
      </c>
      <c r="P95" s="161">
        <v>1</v>
      </c>
      <c r="Q95" s="162">
        <v>1</v>
      </c>
      <c r="R95" s="162">
        <f t="shared" si="15"/>
        <v>1530000</v>
      </c>
      <c r="S95" s="162">
        <f t="shared" si="16"/>
        <v>1530000</v>
      </c>
      <c r="T95" s="161">
        <f t="shared" si="17"/>
        <v>0</v>
      </c>
      <c r="U95" s="153">
        <f t="shared" si="18"/>
        <v>1530000</v>
      </c>
    </row>
    <row r="96" spans="1:21" s="47" customFormat="1" ht="21.75" customHeight="1">
      <c r="A96" s="213">
        <v>32</v>
      </c>
      <c r="B96" s="214" t="s">
        <v>17</v>
      </c>
      <c r="C96" s="354" t="s">
        <v>138</v>
      </c>
      <c r="D96" s="280" t="s">
        <v>139</v>
      </c>
      <c r="E96" s="150" t="s">
        <v>24</v>
      </c>
      <c r="F96" s="150" t="s">
        <v>1118</v>
      </c>
      <c r="G96" s="162">
        <v>11</v>
      </c>
      <c r="H96" s="162">
        <v>800</v>
      </c>
      <c r="I96" s="162">
        <v>2</v>
      </c>
      <c r="J96" s="304" t="s">
        <v>62</v>
      </c>
      <c r="K96" s="163">
        <v>1</v>
      </c>
      <c r="L96" s="163">
        <v>0</v>
      </c>
      <c r="M96" s="425">
        <f t="shared" si="24"/>
        <v>1760</v>
      </c>
      <c r="N96" s="426">
        <f>M96*0.15*5.5</f>
        <v>1452</v>
      </c>
      <c r="O96" s="426">
        <f>M96*7.7*5.5+N96*2</f>
        <v>77440</v>
      </c>
      <c r="P96" s="161">
        <v>1</v>
      </c>
      <c r="Q96" s="162">
        <v>1</v>
      </c>
      <c r="R96" s="162">
        <f>68*$R$2</f>
        <v>1530000</v>
      </c>
      <c r="S96" s="162">
        <f t="shared" si="16"/>
        <v>1530000</v>
      </c>
      <c r="T96" s="161">
        <f t="shared" si="17"/>
        <v>0</v>
      </c>
      <c r="U96" s="153">
        <f t="shared" si="18"/>
        <v>1530000</v>
      </c>
    </row>
    <row r="97" spans="1:21" s="47" customFormat="1" ht="21.75" customHeight="1">
      <c r="A97" s="213">
        <v>33</v>
      </c>
      <c r="B97" s="214" t="s">
        <v>17</v>
      </c>
      <c r="C97" s="354" t="s">
        <v>1448</v>
      </c>
      <c r="D97" s="141" t="s">
        <v>140</v>
      </c>
      <c r="E97" s="150" t="s">
        <v>24</v>
      </c>
      <c r="F97" s="150" t="s">
        <v>1551</v>
      </c>
      <c r="G97" s="161">
        <v>17</v>
      </c>
      <c r="H97" s="162">
        <v>500</v>
      </c>
      <c r="I97" s="153">
        <v>2</v>
      </c>
      <c r="J97" s="304" t="s">
        <v>62</v>
      </c>
      <c r="K97" s="163">
        <v>1</v>
      </c>
      <c r="L97" s="163">
        <v>0</v>
      </c>
      <c r="M97" s="425">
        <f t="shared" si="24"/>
        <v>1700</v>
      </c>
      <c r="N97" s="426">
        <f>M97*0.15*5.5</f>
        <v>1402.5</v>
      </c>
      <c r="O97" s="426">
        <f>M97*7.7*5.5+N97*2</f>
        <v>74800</v>
      </c>
      <c r="P97" s="161">
        <v>1</v>
      </c>
      <c r="Q97" s="162">
        <v>1</v>
      </c>
      <c r="R97" s="317">
        <f>68*$R$2</f>
        <v>1530000</v>
      </c>
      <c r="S97" s="317">
        <f>R97*Q97*P97*K97</f>
        <v>1530000</v>
      </c>
      <c r="T97" s="161">
        <f aca="true" t="shared" si="25" ref="T97:T120">L97*P97*Q97*R97</f>
        <v>0</v>
      </c>
      <c r="U97" s="153">
        <f>S97+T97</f>
        <v>1530000</v>
      </c>
    </row>
    <row r="98" spans="1:21" s="47" customFormat="1" ht="21.75" customHeight="1">
      <c r="A98" s="213">
        <v>34</v>
      </c>
      <c r="B98" s="214" t="s">
        <v>17</v>
      </c>
      <c r="C98" s="354" t="s">
        <v>141</v>
      </c>
      <c r="D98" s="280" t="s">
        <v>142</v>
      </c>
      <c r="E98" s="150" t="s">
        <v>332</v>
      </c>
      <c r="F98" s="150"/>
      <c r="G98" s="161">
        <v>15</v>
      </c>
      <c r="H98" s="162">
        <v>400</v>
      </c>
      <c r="I98" s="153">
        <v>2</v>
      </c>
      <c r="J98" s="304" t="s">
        <v>993</v>
      </c>
      <c r="K98" s="163">
        <v>0</v>
      </c>
      <c r="L98" s="163">
        <v>1</v>
      </c>
      <c r="M98" s="425">
        <f>G98*H98*5/100</f>
        <v>300</v>
      </c>
      <c r="N98" s="426">
        <f>M98*0.15*7</f>
        <v>315</v>
      </c>
      <c r="O98" s="426">
        <f>M98*7.7*7+N98*2</f>
        <v>16800</v>
      </c>
      <c r="P98" s="161">
        <v>1</v>
      </c>
      <c r="Q98" s="162">
        <v>1</v>
      </c>
      <c r="R98" s="162">
        <f aca="true" t="shared" si="26" ref="R98:R128">68*$R$2</f>
        <v>1530000</v>
      </c>
      <c r="S98" s="317">
        <f t="shared" si="16"/>
        <v>0</v>
      </c>
      <c r="T98" s="161">
        <f t="shared" si="25"/>
        <v>1530000</v>
      </c>
      <c r="U98" s="153">
        <f aca="true" t="shared" si="27" ref="U98:U128">S98+T98</f>
        <v>1530000</v>
      </c>
    </row>
    <row r="99" spans="1:21" s="47" customFormat="1" ht="21.75" customHeight="1">
      <c r="A99" s="213">
        <v>35</v>
      </c>
      <c r="B99" s="214" t="s">
        <v>17</v>
      </c>
      <c r="C99" s="354" t="s">
        <v>143</v>
      </c>
      <c r="D99" s="280" t="s">
        <v>144</v>
      </c>
      <c r="E99" s="150" t="s">
        <v>332</v>
      </c>
      <c r="F99" s="150"/>
      <c r="G99" s="161">
        <v>11</v>
      </c>
      <c r="H99" s="162">
        <v>500</v>
      </c>
      <c r="I99" s="153">
        <v>2</v>
      </c>
      <c r="J99" s="304" t="s">
        <v>62</v>
      </c>
      <c r="K99" s="163">
        <v>1</v>
      </c>
      <c r="L99" s="163">
        <v>0</v>
      </c>
      <c r="M99" s="425">
        <f>G99*H99/5</f>
        <v>1100</v>
      </c>
      <c r="N99" s="426">
        <f>M99*0.15*5.5</f>
        <v>907.5</v>
      </c>
      <c r="O99" s="426">
        <f>M99*7.7*5.5+N99*2</f>
        <v>48400</v>
      </c>
      <c r="P99" s="161">
        <v>1</v>
      </c>
      <c r="Q99" s="162">
        <v>1</v>
      </c>
      <c r="R99" s="162">
        <f t="shared" si="26"/>
        <v>1530000</v>
      </c>
      <c r="S99" s="162">
        <f aca="true" t="shared" si="28" ref="S99:S128">R99*Q99*P99*K99</f>
        <v>1530000</v>
      </c>
      <c r="T99" s="161">
        <f t="shared" si="25"/>
        <v>0</v>
      </c>
      <c r="U99" s="153">
        <f t="shared" si="27"/>
        <v>1530000</v>
      </c>
    </row>
    <row r="100" spans="1:21" s="47" customFormat="1" ht="21.75" customHeight="1">
      <c r="A100" s="213">
        <v>36</v>
      </c>
      <c r="B100" s="214" t="s">
        <v>46</v>
      </c>
      <c r="C100" s="406" t="s">
        <v>183</v>
      </c>
      <c r="D100" s="281" t="s">
        <v>184</v>
      </c>
      <c r="E100" s="150" t="s">
        <v>126</v>
      </c>
      <c r="F100" s="150" t="s">
        <v>1147</v>
      </c>
      <c r="G100" s="161">
        <v>35</v>
      </c>
      <c r="H100" s="162">
        <v>2250</v>
      </c>
      <c r="I100" s="153">
        <v>3</v>
      </c>
      <c r="J100" s="304" t="s">
        <v>40</v>
      </c>
      <c r="K100" s="163">
        <v>1</v>
      </c>
      <c r="L100" s="163">
        <v>0</v>
      </c>
      <c r="M100" s="425">
        <f>G100*H100/5</f>
        <v>15750</v>
      </c>
      <c r="N100" s="426">
        <f>M100*0.15*5.5</f>
        <v>12993.75</v>
      </c>
      <c r="O100" s="426">
        <f>M100*7.7*5.5+N100*2</f>
        <v>693000</v>
      </c>
      <c r="P100" s="161">
        <v>1</v>
      </c>
      <c r="Q100" s="162">
        <v>1</v>
      </c>
      <c r="R100" s="162">
        <f t="shared" si="26"/>
        <v>1530000</v>
      </c>
      <c r="S100" s="162">
        <f t="shared" si="28"/>
        <v>1530000</v>
      </c>
      <c r="T100" s="161">
        <f t="shared" si="25"/>
        <v>0</v>
      </c>
      <c r="U100" s="153">
        <f t="shared" si="27"/>
        <v>1530000</v>
      </c>
    </row>
    <row r="101" spans="1:21" s="47" customFormat="1" ht="21.75" customHeight="1">
      <c r="A101" s="213">
        <v>37</v>
      </c>
      <c r="B101" s="214" t="s">
        <v>46</v>
      </c>
      <c r="C101" s="406" t="s">
        <v>185</v>
      </c>
      <c r="D101" s="281" t="s">
        <v>184</v>
      </c>
      <c r="E101" s="150" t="s">
        <v>126</v>
      </c>
      <c r="F101" s="150" t="s">
        <v>1112</v>
      </c>
      <c r="G101" s="161">
        <v>35</v>
      </c>
      <c r="H101" s="162">
        <v>2250</v>
      </c>
      <c r="I101" s="153">
        <v>3</v>
      </c>
      <c r="J101" s="304" t="s">
        <v>40</v>
      </c>
      <c r="K101" s="163">
        <v>1</v>
      </c>
      <c r="L101" s="163">
        <v>0</v>
      </c>
      <c r="M101" s="425">
        <f>G101*H101/5</f>
        <v>15750</v>
      </c>
      <c r="N101" s="426">
        <f>M101*0.15*5.5</f>
        <v>12993.75</v>
      </c>
      <c r="O101" s="426">
        <f>M101*7.7*5.5+N101*2</f>
        <v>693000</v>
      </c>
      <c r="P101" s="161">
        <v>1</v>
      </c>
      <c r="Q101" s="162">
        <v>1</v>
      </c>
      <c r="R101" s="162">
        <f t="shared" si="26"/>
        <v>1530000</v>
      </c>
      <c r="S101" s="162">
        <f t="shared" si="28"/>
        <v>1530000</v>
      </c>
      <c r="T101" s="161">
        <f t="shared" si="25"/>
        <v>0</v>
      </c>
      <c r="U101" s="153">
        <f t="shared" si="27"/>
        <v>1530000</v>
      </c>
    </row>
    <row r="102" spans="1:21" s="47" customFormat="1" ht="21.75" customHeight="1">
      <c r="A102" s="213">
        <v>38</v>
      </c>
      <c r="B102" s="214" t="s">
        <v>17</v>
      </c>
      <c r="C102" s="405" t="s">
        <v>145</v>
      </c>
      <c r="D102" s="141" t="s">
        <v>146</v>
      </c>
      <c r="E102" s="150" t="s">
        <v>147</v>
      </c>
      <c r="F102" s="150" t="s">
        <v>1119</v>
      </c>
      <c r="G102" s="161">
        <v>6</v>
      </c>
      <c r="H102" s="162">
        <v>1000</v>
      </c>
      <c r="I102" s="153">
        <v>4</v>
      </c>
      <c r="J102" s="304" t="s">
        <v>40</v>
      </c>
      <c r="K102" s="163">
        <v>1</v>
      </c>
      <c r="L102" s="163">
        <v>0</v>
      </c>
      <c r="M102" s="425">
        <f>G102*H102/5</f>
        <v>1200</v>
      </c>
      <c r="N102" s="426">
        <f>M102*0.15*5.5</f>
        <v>990</v>
      </c>
      <c r="O102" s="426">
        <f>M102*7.7*5.5+N102*2</f>
        <v>52800</v>
      </c>
      <c r="P102" s="161">
        <v>1</v>
      </c>
      <c r="Q102" s="162">
        <v>1</v>
      </c>
      <c r="R102" s="162">
        <f t="shared" si="26"/>
        <v>1530000</v>
      </c>
      <c r="S102" s="162">
        <f t="shared" si="28"/>
        <v>1530000</v>
      </c>
      <c r="T102" s="161">
        <f t="shared" si="25"/>
        <v>0</v>
      </c>
      <c r="U102" s="153">
        <f t="shared" si="27"/>
        <v>1530000</v>
      </c>
    </row>
    <row r="103" spans="1:21" s="47" customFormat="1" ht="21.75" customHeight="1">
      <c r="A103" s="213">
        <v>39</v>
      </c>
      <c r="B103" s="214" t="s">
        <v>17</v>
      </c>
      <c r="C103" s="354" t="s">
        <v>148</v>
      </c>
      <c r="D103" s="280" t="s">
        <v>149</v>
      </c>
      <c r="E103" s="150" t="s">
        <v>24</v>
      </c>
      <c r="F103" s="150"/>
      <c r="G103" s="162">
        <v>10</v>
      </c>
      <c r="H103" s="162">
        <v>430</v>
      </c>
      <c r="I103" s="162">
        <v>2</v>
      </c>
      <c r="J103" s="304" t="s">
        <v>62</v>
      </c>
      <c r="K103" s="163">
        <v>1</v>
      </c>
      <c r="L103" s="163">
        <v>0</v>
      </c>
      <c r="M103" s="425">
        <f>G103*H103/5</f>
        <v>860</v>
      </c>
      <c r="N103" s="426">
        <f>M103*0.15*5.5</f>
        <v>709.5</v>
      </c>
      <c r="O103" s="426">
        <f>M103*7.7*5.5+N103*2</f>
        <v>37840</v>
      </c>
      <c r="P103" s="161">
        <v>1</v>
      </c>
      <c r="Q103" s="162">
        <v>1</v>
      </c>
      <c r="R103" s="162">
        <f t="shared" si="26"/>
        <v>1530000</v>
      </c>
      <c r="S103" s="162">
        <f t="shared" si="28"/>
        <v>1530000</v>
      </c>
      <c r="T103" s="161">
        <f t="shared" si="25"/>
        <v>0</v>
      </c>
      <c r="U103" s="153">
        <f t="shared" si="27"/>
        <v>1530000</v>
      </c>
    </row>
    <row r="104" spans="1:21" s="47" customFormat="1" ht="21.75" customHeight="1">
      <c r="A104" s="213">
        <v>40</v>
      </c>
      <c r="B104" s="214" t="s">
        <v>17</v>
      </c>
      <c r="C104" s="405" t="s">
        <v>150</v>
      </c>
      <c r="D104" s="141" t="s">
        <v>151</v>
      </c>
      <c r="E104" s="150" t="s">
        <v>24</v>
      </c>
      <c r="F104" s="150"/>
      <c r="G104" s="162">
        <v>12</v>
      </c>
      <c r="H104" s="162">
        <v>350</v>
      </c>
      <c r="I104" s="153">
        <v>2</v>
      </c>
      <c r="J104" s="304" t="s">
        <v>77</v>
      </c>
      <c r="K104" s="163">
        <v>1</v>
      </c>
      <c r="L104" s="163">
        <v>0</v>
      </c>
      <c r="M104" s="425">
        <f>G104*H104*5/100</f>
        <v>210</v>
      </c>
      <c r="N104" s="426">
        <f>M104*0.15*7</f>
        <v>220.5</v>
      </c>
      <c r="O104" s="426">
        <f>M104*7.7*7+N104*2</f>
        <v>11760</v>
      </c>
      <c r="P104" s="161">
        <v>1</v>
      </c>
      <c r="Q104" s="162">
        <v>1</v>
      </c>
      <c r="R104" s="162">
        <f t="shared" si="26"/>
        <v>1530000</v>
      </c>
      <c r="S104" s="162">
        <f t="shared" si="28"/>
        <v>1530000</v>
      </c>
      <c r="T104" s="161">
        <f t="shared" si="25"/>
        <v>0</v>
      </c>
      <c r="U104" s="153">
        <f t="shared" si="27"/>
        <v>1530000</v>
      </c>
    </row>
    <row r="105" spans="1:21" s="47" customFormat="1" ht="21.75" customHeight="1">
      <c r="A105" s="213">
        <v>41</v>
      </c>
      <c r="B105" s="214" t="s">
        <v>17</v>
      </c>
      <c r="C105" s="405" t="s">
        <v>1449</v>
      </c>
      <c r="D105" s="141" t="s">
        <v>152</v>
      </c>
      <c r="E105" s="150" t="s">
        <v>20</v>
      </c>
      <c r="F105" s="150"/>
      <c r="G105" s="215">
        <v>14</v>
      </c>
      <c r="H105" s="216">
        <v>480</v>
      </c>
      <c r="I105" s="217">
        <v>2</v>
      </c>
      <c r="J105" s="304" t="s">
        <v>62</v>
      </c>
      <c r="K105" s="163">
        <v>1</v>
      </c>
      <c r="L105" s="163">
        <v>0</v>
      </c>
      <c r="M105" s="425">
        <f>G105*H105*5/100</f>
        <v>336</v>
      </c>
      <c r="N105" s="426">
        <f>M105*0.15*7</f>
        <v>352.8</v>
      </c>
      <c r="O105" s="426">
        <f>M105*7.7*7+N105*2</f>
        <v>18816</v>
      </c>
      <c r="P105" s="161">
        <v>1</v>
      </c>
      <c r="Q105" s="162">
        <v>1</v>
      </c>
      <c r="R105" s="162">
        <f t="shared" si="26"/>
        <v>1530000</v>
      </c>
      <c r="S105" s="162">
        <f t="shared" si="28"/>
        <v>1530000</v>
      </c>
      <c r="T105" s="161">
        <f t="shared" si="25"/>
        <v>0</v>
      </c>
      <c r="U105" s="153">
        <f t="shared" si="27"/>
        <v>1530000</v>
      </c>
    </row>
    <row r="106" spans="1:21" s="47" customFormat="1" ht="21.75" customHeight="1">
      <c r="A106" s="213">
        <v>42</v>
      </c>
      <c r="B106" s="214" t="s">
        <v>17</v>
      </c>
      <c r="C106" s="354" t="s">
        <v>153</v>
      </c>
      <c r="D106" s="280" t="s">
        <v>154</v>
      </c>
      <c r="E106" s="150" t="s">
        <v>20</v>
      </c>
      <c r="F106" s="150"/>
      <c r="G106" s="161">
        <v>6</v>
      </c>
      <c r="H106" s="162">
        <v>700</v>
      </c>
      <c r="I106" s="153">
        <v>2</v>
      </c>
      <c r="J106" s="304" t="s">
        <v>25</v>
      </c>
      <c r="K106" s="163">
        <v>1</v>
      </c>
      <c r="L106" s="163">
        <v>0</v>
      </c>
      <c r="M106" s="425">
        <f aca="true" t="shared" si="29" ref="M106:M111">G106*H106/5</f>
        <v>840</v>
      </c>
      <c r="N106" s="426">
        <f aca="true" t="shared" si="30" ref="N106:N111">M106*0.15*5.5</f>
        <v>693</v>
      </c>
      <c r="O106" s="426">
        <f aca="true" t="shared" si="31" ref="O106:O111">M106*7.7*5.5+N106*2</f>
        <v>36960</v>
      </c>
      <c r="P106" s="161">
        <v>1</v>
      </c>
      <c r="Q106" s="162">
        <v>1</v>
      </c>
      <c r="R106" s="162">
        <f t="shared" si="26"/>
        <v>1530000</v>
      </c>
      <c r="S106" s="162">
        <f t="shared" si="28"/>
        <v>1530000</v>
      </c>
      <c r="T106" s="161">
        <f t="shared" si="25"/>
        <v>0</v>
      </c>
      <c r="U106" s="153">
        <f t="shared" si="27"/>
        <v>1530000</v>
      </c>
    </row>
    <row r="107" spans="1:22" s="47" customFormat="1" ht="21.75" customHeight="1">
      <c r="A107" s="213">
        <v>43</v>
      </c>
      <c r="B107" s="438" t="s">
        <v>17</v>
      </c>
      <c r="C107" s="354" t="s">
        <v>1553</v>
      </c>
      <c r="D107" s="439" t="s">
        <v>155</v>
      </c>
      <c r="E107" s="440" t="s">
        <v>24</v>
      </c>
      <c r="F107" s="440"/>
      <c r="G107" s="441">
        <v>9</v>
      </c>
      <c r="H107" s="442">
        <v>300</v>
      </c>
      <c r="I107" s="443">
        <v>2</v>
      </c>
      <c r="J107" s="444" t="s">
        <v>40</v>
      </c>
      <c r="K107" s="445">
        <v>1</v>
      </c>
      <c r="L107" s="445">
        <v>0</v>
      </c>
      <c r="M107" s="446">
        <f t="shared" si="29"/>
        <v>540</v>
      </c>
      <c r="N107" s="447">
        <f t="shared" si="30"/>
        <v>445.5</v>
      </c>
      <c r="O107" s="447">
        <f t="shared" si="31"/>
        <v>23760</v>
      </c>
      <c r="P107" s="441">
        <v>1</v>
      </c>
      <c r="Q107" s="442">
        <v>1</v>
      </c>
      <c r="R107" s="442">
        <f t="shared" si="26"/>
        <v>1530000</v>
      </c>
      <c r="S107" s="442">
        <f t="shared" si="28"/>
        <v>1530000</v>
      </c>
      <c r="T107" s="441">
        <f t="shared" si="25"/>
        <v>0</v>
      </c>
      <c r="U107" s="443">
        <f t="shared" si="27"/>
        <v>1530000</v>
      </c>
      <c r="V107" s="460" t="s">
        <v>1571</v>
      </c>
    </row>
    <row r="108" spans="1:21" s="47" customFormat="1" ht="21.75" customHeight="1">
      <c r="A108" s="213">
        <v>44</v>
      </c>
      <c r="B108" s="214" t="s">
        <v>46</v>
      </c>
      <c r="C108" s="354" t="s">
        <v>156</v>
      </c>
      <c r="D108" s="280" t="s">
        <v>157</v>
      </c>
      <c r="E108" s="150" t="s">
        <v>24</v>
      </c>
      <c r="F108" s="150"/>
      <c r="G108" s="161">
        <v>15</v>
      </c>
      <c r="H108" s="162">
        <v>1571</v>
      </c>
      <c r="I108" s="153">
        <v>2</v>
      </c>
      <c r="J108" s="304" t="s">
        <v>62</v>
      </c>
      <c r="K108" s="163">
        <v>1</v>
      </c>
      <c r="L108" s="163">
        <v>0</v>
      </c>
      <c r="M108" s="425">
        <f t="shared" si="29"/>
        <v>4713</v>
      </c>
      <c r="N108" s="426">
        <f t="shared" si="30"/>
        <v>3888.2249999999995</v>
      </c>
      <c r="O108" s="426">
        <f t="shared" si="31"/>
        <v>207372</v>
      </c>
      <c r="P108" s="161">
        <v>1</v>
      </c>
      <c r="Q108" s="162">
        <v>1</v>
      </c>
      <c r="R108" s="162">
        <f t="shared" si="26"/>
        <v>1530000</v>
      </c>
      <c r="S108" s="162">
        <f t="shared" si="28"/>
        <v>1530000</v>
      </c>
      <c r="T108" s="161">
        <f t="shared" si="25"/>
        <v>0</v>
      </c>
      <c r="U108" s="153">
        <f t="shared" si="27"/>
        <v>1530000</v>
      </c>
    </row>
    <row r="109" spans="1:22" s="61" customFormat="1" ht="21.75" customHeight="1">
      <c r="A109" s="458">
        <v>45</v>
      </c>
      <c r="B109" s="448" t="s">
        <v>17</v>
      </c>
      <c r="C109" s="449" t="s">
        <v>158</v>
      </c>
      <c r="D109" s="450" t="s">
        <v>159</v>
      </c>
      <c r="E109" s="451" t="s">
        <v>20</v>
      </c>
      <c r="F109" s="451"/>
      <c r="G109" s="452">
        <v>12</v>
      </c>
      <c r="H109" s="453">
        <v>460</v>
      </c>
      <c r="I109" s="454">
        <v>3</v>
      </c>
      <c r="J109" s="455" t="s">
        <v>25</v>
      </c>
      <c r="K109" s="456">
        <v>1</v>
      </c>
      <c r="L109" s="456">
        <v>0</v>
      </c>
      <c r="M109" s="461">
        <f t="shared" si="29"/>
        <v>1104</v>
      </c>
      <c r="N109" s="462">
        <f t="shared" si="30"/>
        <v>910.8</v>
      </c>
      <c r="O109" s="462">
        <f t="shared" si="31"/>
        <v>48576.00000000001</v>
      </c>
      <c r="P109" s="452"/>
      <c r="Q109" s="453">
        <v>1</v>
      </c>
      <c r="R109" s="453">
        <f t="shared" si="26"/>
        <v>1530000</v>
      </c>
      <c r="S109" s="453">
        <f t="shared" si="28"/>
        <v>0</v>
      </c>
      <c r="T109" s="452">
        <f t="shared" si="25"/>
        <v>0</v>
      </c>
      <c r="U109" s="454">
        <f t="shared" si="27"/>
        <v>0</v>
      </c>
      <c r="V109" s="61" t="s">
        <v>1572</v>
      </c>
    </row>
    <row r="110" spans="1:21" s="47" customFormat="1" ht="21.75" customHeight="1">
      <c r="A110" s="213">
        <v>46</v>
      </c>
      <c r="B110" s="214" t="s">
        <v>17</v>
      </c>
      <c r="C110" s="354" t="s">
        <v>160</v>
      </c>
      <c r="D110" s="280" t="s">
        <v>123</v>
      </c>
      <c r="E110" s="150" t="s">
        <v>335</v>
      </c>
      <c r="F110" s="150"/>
      <c r="G110" s="161">
        <v>14</v>
      </c>
      <c r="H110" s="162">
        <v>728</v>
      </c>
      <c r="I110" s="153">
        <v>2</v>
      </c>
      <c r="J110" s="304" t="s">
        <v>25</v>
      </c>
      <c r="K110" s="163">
        <v>1</v>
      </c>
      <c r="L110" s="163">
        <v>0</v>
      </c>
      <c r="M110" s="425">
        <f t="shared" si="29"/>
        <v>2038.4</v>
      </c>
      <c r="N110" s="426">
        <f t="shared" si="30"/>
        <v>1681.6799999999998</v>
      </c>
      <c r="O110" s="426">
        <f t="shared" si="31"/>
        <v>89689.6</v>
      </c>
      <c r="P110" s="161">
        <v>1</v>
      </c>
      <c r="Q110" s="162">
        <v>1</v>
      </c>
      <c r="R110" s="162">
        <f t="shared" si="26"/>
        <v>1530000</v>
      </c>
      <c r="S110" s="162">
        <f t="shared" si="28"/>
        <v>1530000</v>
      </c>
      <c r="T110" s="161">
        <f t="shared" si="25"/>
        <v>0</v>
      </c>
      <c r="U110" s="153">
        <f t="shared" si="27"/>
        <v>1530000</v>
      </c>
    </row>
    <row r="111" spans="1:21" s="47" customFormat="1" ht="21.75" customHeight="1">
      <c r="A111" s="213">
        <v>47</v>
      </c>
      <c r="B111" s="214" t="s">
        <v>17</v>
      </c>
      <c r="C111" s="354" t="s">
        <v>161</v>
      </c>
      <c r="D111" s="280" t="s">
        <v>162</v>
      </c>
      <c r="E111" s="150" t="s">
        <v>163</v>
      </c>
      <c r="F111" s="150"/>
      <c r="G111" s="161">
        <v>12</v>
      </c>
      <c r="H111" s="162">
        <v>400</v>
      </c>
      <c r="I111" s="153">
        <v>2</v>
      </c>
      <c r="J111" s="304" t="s">
        <v>25</v>
      </c>
      <c r="K111" s="163">
        <v>1</v>
      </c>
      <c r="L111" s="163">
        <v>0</v>
      </c>
      <c r="M111" s="425">
        <f t="shared" si="29"/>
        <v>960</v>
      </c>
      <c r="N111" s="426">
        <f t="shared" si="30"/>
        <v>792</v>
      </c>
      <c r="O111" s="426">
        <f t="shared" si="31"/>
        <v>42240</v>
      </c>
      <c r="P111" s="161">
        <v>1</v>
      </c>
      <c r="Q111" s="162">
        <v>1</v>
      </c>
      <c r="R111" s="162">
        <f t="shared" si="26"/>
        <v>1530000</v>
      </c>
      <c r="S111" s="162">
        <f t="shared" si="28"/>
        <v>1530000</v>
      </c>
      <c r="T111" s="161">
        <f t="shared" si="25"/>
        <v>0</v>
      </c>
      <c r="U111" s="153">
        <f t="shared" si="27"/>
        <v>1530000</v>
      </c>
    </row>
    <row r="112" spans="1:21" s="47" customFormat="1" ht="21.75" customHeight="1">
      <c r="A112" s="213">
        <v>48</v>
      </c>
      <c r="B112" s="214" t="s">
        <v>46</v>
      </c>
      <c r="C112" s="407" t="s">
        <v>164</v>
      </c>
      <c r="D112" s="281" t="s">
        <v>165</v>
      </c>
      <c r="E112" s="150" t="s">
        <v>332</v>
      </c>
      <c r="F112" s="150"/>
      <c r="G112" s="162">
        <v>19</v>
      </c>
      <c r="H112" s="162">
        <v>2500</v>
      </c>
      <c r="I112" s="162">
        <v>4</v>
      </c>
      <c r="J112" s="304" t="s">
        <v>25</v>
      </c>
      <c r="K112" s="163">
        <v>1</v>
      </c>
      <c r="L112" s="163">
        <v>0</v>
      </c>
      <c r="M112" s="425">
        <f>G112*H112*5/100</f>
        <v>2375</v>
      </c>
      <c r="N112" s="426">
        <f>M112*0.15*7</f>
        <v>2493.75</v>
      </c>
      <c r="O112" s="426">
        <f>M112*7.7*7+N112*2</f>
        <v>133000</v>
      </c>
      <c r="P112" s="161">
        <v>1</v>
      </c>
      <c r="Q112" s="162">
        <v>1</v>
      </c>
      <c r="R112" s="162">
        <f t="shared" si="26"/>
        <v>1530000</v>
      </c>
      <c r="S112" s="162">
        <f t="shared" si="28"/>
        <v>1530000</v>
      </c>
      <c r="T112" s="161">
        <f t="shared" si="25"/>
        <v>0</v>
      </c>
      <c r="U112" s="153">
        <f t="shared" si="27"/>
        <v>1530000</v>
      </c>
    </row>
    <row r="113" spans="1:21" s="47" customFormat="1" ht="21.75" customHeight="1">
      <c r="A113" s="213">
        <v>49</v>
      </c>
      <c r="B113" s="214" t="s">
        <v>17</v>
      </c>
      <c r="C113" s="407" t="s">
        <v>166</v>
      </c>
      <c r="D113" s="281" t="s">
        <v>167</v>
      </c>
      <c r="E113" s="150" t="s">
        <v>332</v>
      </c>
      <c r="F113" s="437"/>
      <c r="G113" s="162">
        <v>19</v>
      </c>
      <c r="H113" s="162">
        <v>2500</v>
      </c>
      <c r="I113" s="162">
        <v>4</v>
      </c>
      <c r="J113" s="304" t="s">
        <v>77</v>
      </c>
      <c r="K113" s="163">
        <v>1</v>
      </c>
      <c r="L113" s="163">
        <v>0</v>
      </c>
      <c r="M113" s="425">
        <f>G113*H113/5</f>
        <v>9500</v>
      </c>
      <c r="N113" s="426">
        <f>M113*0.15*5.5</f>
        <v>7837.5</v>
      </c>
      <c r="O113" s="426">
        <f>M113*7.7*5.5+N113*2</f>
        <v>418000</v>
      </c>
      <c r="P113" s="161">
        <v>1</v>
      </c>
      <c r="Q113" s="162">
        <v>1</v>
      </c>
      <c r="R113" s="317">
        <f t="shared" si="26"/>
        <v>1530000</v>
      </c>
      <c r="S113" s="162">
        <f t="shared" si="28"/>
        <v>1530000</v>
      </c>
      <c r="T113" s="161">
        <f t="shared" si="25"/>
        <v>0</v>
      </c>
      <c r="U113" s="153">
        <f t="shared" si="27"/>
        <v>1530000</v>
      </c>
    </row>
    <row r="114" spans="1:21" s="47" customFormat="1" ht="21.75" customHeight="1">
      <c r="A114" s="213">
        <v>50</v>
      </c>
      <c r="B114" s="214" t="s">
        <v>17</v>
      </c>
      <c r="C114" s="405" t="s">
        <v>172</v>
      </c>
      <c r="D114" s="141" t="s">
        <v>173</v>
      </c>
      <c r="E114" s="150" t="s">
        <v>91</v>
      </c>
      <c r="F114" s="150"/>
      <c r="G114" s="161">
        <v>12</v>
      </c>
      <c r="H114" s="162">
        <v>600</v>
      </c>
      <c r="I114" s="153">
        <v>1</v>
      </c>
      <c r="J114" s="304" t="s">
        <v>994</v>
      </c>
      <c r="K114" s="163">
        <v>0</v>
      </c>
      <c r="L114" s="163">
        <v>1</v>
      </c>
      <c r="M114" s="425">
        <f>G114*H114/5</f>
        <v>1440</v>
      </c>
      <c r="N114" s="426">
        <f>M114*0.15*5.5</f>
        <v>1188</v>
      </c>
      <c r="O114" s="426">
        <f>M114*7.7*5.5+N114*2</f>
        <v>63360</v>
      </c>
      <c r="P114" s="161">
        <v>1</v>
      </c>
      <c r="Q114" s="162">
        <v>1</v>
      </c>
      <c r="R114" s="317">
        <f t="shared" si="26"/>
        <v>1530000</v>
      </c>
      <c r="S114" s="162">
        <f t="shared" si="28"/>
        <v>0</v>
      </c>
      <c r="T114" s="161">
        <f t="shared" si="25"/>
        <v>1530000</v>
      </c>
      <c r="U114" s="153">
        <f>S114+T114</f>
        <v>1530000</v>
      </c>
    </row>
    <row r="115" spans="1:21" s="47" customFormat="1" ht="21.75" customHeight="1">
      <c r="A115" s="213">
        <v>51</v>
      </c>
      <c r="B115" s="214" t="s">
        <v>17</v>
      </c>
      <c r="C115" s="354" t="s">
        <v>168</v>
      </c>
      <c r="D115" s="280" t="s">
        <v>169</v>
      </c>
      <c r="E115" s="150" t="s">
        <v>338</v>
      </c>
      <c r="F115" s="150"/>
      <c r="G115" s="161">
        <v>12</v>
      </c>
      <c r="H115" s="162">
        <v>1500</v>
      </c>
      <c r="I115" s="153">
        <v>3</v>
      </c>
      <c r="J115" s="304" t="s">
        <v>43</v>
      </c>
      <c r="K115" s="163">
        <v>1</v>
      </c>
      <c r="L115" s="163">
        <v>0</v>
      </c>
      <c r="M115" s="425">
        <f>G115*H115/5</f>
        <v>3600</v>
      </c>
      <c r="N115" s="426">
        <f>M115*0.15*5.5</f>
        <v>2970</v>
      </c>
      <c r="O115" s="426">
        <f>M115*7.7*5.5+N115*2</f>
        <v>158400</v>
      </c>
      <c r="P115" s="161">
        <v>1</v>
      </c>
      <c r="Q115" s="162">
        <v>1</v>
      </c>
      <c r="R115" s="162">
        <f t="shared" si="26"/>
        <v>1530000</v>
      </c>
      <c r="S115" s="162">
        <f t="shared" si="28"/>
        <v>1530000</v>
      </c>
      <c r="T115" s="161">
        <f t="shared" si="25"/>
        <v>0</v>
      </c>
      <c r="U115" s="153">
        <f t="shared" si="27"/>
        <v>1530000</v>
      </c>
    </row>
    <row r="116" spans="1:21" s="47" customFormat="1" ht="21.75" customHeight="1">
      <c r="A116" s="213">
        <v>52</v>
      </c>
      <c r="B116" s="214" t="s">
        <v>17</v>
      </c>
      <c r="C116" s="354" t="s">
        <v>170</v>
      </c>
      <c r="D116" s="280" t="s">
        <v>171</v>
      </c>
      <c r="E116" s="150" t="s">
        <v>20</v>
      </c>
      <c r="F116" s="150"/>
      <c r="G116" s="161">
        <v>12</v>
      </c>
      <c r="H116" s="162">
        <v>200</v>
      </c>
      <c r="I116" s="153">
        <v>2</v>
      </c>
      <c r="J116" s="304" t="s">
        <v>62</v>
      </c>
      <c r="K116" s="163">
        <v>1</v>
      </c>
      <c r="L116" s="163">
        <v>0</v>
      </c>
      <c r="M116" s="425">
        <f>G116*H116*5/100</f>
        <v>120</v>
      </c>
      <c r="N116" s="426">
        <f>M116*0.15*7</f>
        <v>126</v>
      </c>
      <c r="O116" s="426">
        <f>M116*7.7*7+N116*2</f>
        <v>6720</v>
      </c>
      <c r="P116" s="161">
        <v>1</v>
      </c>
      <c r="Q116" s="162">
        <v>1</v>
      </c>
      <c r="R116" s="162">
        <f t="shared" si="26"/>
        <v>1530000</v>
      </c>
      <c r="S116" s="162">
        <f t="shared" si="28"/>
        <v>1530000</v>
      </c>
      <c r="T116" s="161">
        <f t="shared" si="25"/>
        <v>0</v>
      </c>
      <c r="U116" s="153">
        <f t="shared" si="27"/>
        <v>1530000</v>
      </c>
    </row>
    <row r="117" spans="1:21" s="47" customFormat="1" ht="21.75" customHeight="1">
      <c r="A117" s="213">
        <v>53</v>
      </c>
      <c r="B117" s="214" t="s">
        <v>46</v>
      </c>
      <c r="C117" s="354" t="s">
        <v>946</v>
      </c>
      <c r="D117" s="280" t="s">
        <v>947</v>
      </c>
      <c r="E117" s="150" t="s">
        <v>1206</v>
      </c>
      <c r="F117" s="150" t="s">
        <v>1121</v>
      </c>
      <c r="G117" s="161">
        <v>19</v>
      </c>
      <c r="H117" s="162">
        <v>2233</v>
      </c>
      <c r="I117" s="162">
        <v>4</v>
      </c>
      <c r="J117" s="304" t="s">
        <v>50</v>
      </c>
      <c r="K117" s="163">
        <v>1</v>
      </c>
      <c r="L117" s="163">
        <v>0</v>
      </c>
      <c r="M117" s="425">
        <f>G117*H117/5</f>
        <v>8485.4</v>
      </c>
      <c r="N117" s="426">
        <f>M117*0.15*5.5</f>
        <v>7000.455</v>
      </c>
      <c r="O117" s="426">
        <f>M117*7.7*5.5+N117*2</f>
        <v>373357.6</v>
      </c>
      <c r="P117" s="161">
        <v>1</v>
      </c>
      <c r="Q117" s="162">
        <v>1</v>
      </c>
      <c r="R117" s="162">
        <f t="shared" si="26"/>
        <v>1530000</v>
      </c>
      <c r="S117" s="162">
        <f t="shared" si="28"/>
        <v>1530000</v>
      </c>
      <c r="T117" s="161">
        <f t="shared" si="25"/>
        <v>0</v>
      </c>
      <c r="U117" s="153">
        <f t="shared" si="27"/>
        <v>1530000</v>
      </c>
    </row>
    <row r="118" spans="1:21" s="47" customFormat="1" ht="21.75" customHeight="1">
      <c r="A118" s="213">
        <v>54</v>
      </c>
      <c r="B118" s="214" t="s">
        <v>46</v>
      </c>
      <c r="C118" s="354" t="s">
        <v>948</v>
      </c>
      <c r="D118" s="280" t="s">
        <v>947</v>
      </c>
      <c r="E118" s="150" t="s">
        <v>1206</v>
      </c>
      <c r="F118" s="150" t="s">
        <v>1121</v>
      </c>
      <c r="G118" s="161">
        <v>19</v>
      </c>
      <c r="H118" s="162">
        <v>2233</v>
      </c>
      <c r="I118" s="153">
        <v>3</v>
      </c>
      <c r="J118" s="304" t="s">
        <v>43</v>
      </c>
      <c r="K118" s="163">
        <v>1</v>
      </c>
      <c r="L118" s="163">
        <v>0</v>
      </c>
      <c r="M118" s="425">
        <f>G118*H118/5</f>
        <v>8485.4</v>
      </c>
      <c r="N118" s="426">
        <f>M118*0.15*5.5</f>
        <v>7000.455</v>
      </c>
      <c r="O118" s="426">
        <f>M118*7.7*5.5+N118*2</f>
        <v>373357.6</v>
      </c>
      <c r="P118" s="161">
        <v>1</v>
      </c>
      <c r="Q118" s="162">
        <v>1</v>
      </c>
      <c r="R118" s="162">
        <f t="shared" si="26"/>
        <v>1530000</v>
      </c>
      <c r="S118" s="162">
        <f t="shared" si="28"/>
        <v>1530000</v>
      </c>
      <c r="T118" s="161">
        <f t="shared" si="25"/>
        <v>0</v>
      </c>
      <c r="U118" s="153">
        <f t="shared" si="27"/>
        <v>1530000</v>
      </c>
    </row>
    <row r="119" spans="1:21" s="52" customFormat="1" ht="21.75" customHeight="1">
      <c r="A119" s="213">
        <v>55</v>
      </c>
      <c r="B119" s="214" t="s">
        <v>17</v>
      </c>
      <c r="C119" s="354" t="s">
        <v>962</v>
      </c>
      <c r="D119" s="280" t="s">
        <v>963</v>
      </c>
      <c r="E119" s="150" t="s">
        <v>24</v>
      </c>
      <c r="F119" s="150" t="s">
        <v>1121</v>
      </c>
      <c r="G119" s="161">
        <v>10</v>
      </c>
      <c r="H119" s="162">
        <v>450</v>
      </c>
      <c r="I119" s="153">
        <v>1</v>
      </c>
      <c r="J119" s="304" t="s">
        <v>77</v>
      </c>
      <c r="K119" s="163">
        <v>1</v>
      </c>
      <c r="L119" s="163">
        <v>0</v>
      </c>
      <c r="M119" s="425">
        <f>G119*H119/5</f>
        <v>900</v>
      </c>
      <c r="N119" s="426">
        <f>M119*0.15*5.5</f>
        <v>742.5</v>
      </c>
      <c r="O119" s="426">
        <f>M119*7.7*5.5+N119*2</f>
        <v>39600</v>
      </c>
      <c r="P119" s="161">
        <v>1</v>
      </c>
      <c r="Q119" s="162">
        <v>1</v>
      </c>
      <c r="R119" s="162">
        <f t="shared" si="26"/>
        <v>1530000</v>
      </c>
      <c r="S119" s="162">
        <f t="shared" si="28"/>
        <v>1530000</v>
      </c>
      <c r="T119" s="161">
        <f t="shared" si="25"/>
        <v>0</v>
      </c>
      <c r="U119" s="153">
        <f t="shared" si="27"/>
        <v>1530000</v>
      </c>
    </row>
    <row r="120" spans="1:21" s="52" customFormat="1" ht="21.75" customHeight="1">
      <c r="A120" s="213">
        <v>56</v>
      </c>
      <c r="B120" s="214" t="s">
        <v>46</v>
      </c>
      <c r="C120" s="354" t="s">
        <v>967</v>
      </c>
      <c r="D120" s="149" t="s">
        <v>966</v>
      </c>
      <c r="E120" s="150" t="s">
        <v>126</v>
      </c>
      <c r="F120" s="150" t="s">
        <v>1121</v>
      </c>
      <c r="G120" s="161">
        <v>35</v>
      </c>
      <c r="H120" s="162">
        <f>30000/9</f>
        <v>3333.3333333333335</v>
      </c>
      <c r="I120" s="153">
        <v>3</v>
      </c>
      <c r="J120" s="304" t="s">
        <v>25</v>
      </c>
      <c r="K120" s="163">
        <v>1</v>
      </c>
      <c r="L120" s="163">
        <v>0</v>
      </c>
      <c r="M120" s="425">
        <f>G120*H120/5</f>
        <v>23333.333333333336</v>
      </c>
      <c r="N120" s="426">
        <f>M120*0.15*5.5</f>
        <v>19250.000000000004</v>
      </c>
      <c r="O120" s="426">
        <f>M120*7.7*5.5+N120*2</f>
        <v>1026666.6666666667</v>
      </c>
      <c r="P120" s="161">
        <v>1</v>
      </c>
      <c r="Q120" s="162">
        <v>1</v>
      </c>
      <c r="R120" s="162">
        <f t="shared" si="26"/>
        <v>1530000</v>
      </c>
      <c r="S120" s="162">
        <f t="shared" si="28"/>
        <v>1530000</v>
      </c>
      <c r="T120" s="161">
        <f t="shared" si="25"/>
        <v>0</v>
      </c>
      <c r="U120" s="153">
        <f t="shared" si="27"/>
        <v>1530000</v>
      </c>
    </row>
    <row r="121" spans="1:21" s="52" customFormat="1" ht="21.75" customHeight="1">
      <c r="A121" s="213">
        <v>57</v>
      </c>
      <c r="B121" s="214" t="s">
        <v>46</v>
      </c>
      <c r="C121" s="354" t="s">
        <v>968</v>
      </c>
      <c r="D121" s="149" t="s">
        <v>966</v>
      </c>
      <c r="E121" s="150" t="s">
        <v>126</v>
      </c>
      <c r="F121" s="150" t="s">
        <v>1121</v>
      </c>
      <c r="G121" s="161">
        <v>35</v>
      </c>
      <c r="H121" s="162">
        <f aca="true" t="shared" si="32" ref="H121:H127">30000/9</f>
        <v>3333.3333333333335</v>
      </c>
      <c r="I121" s="153">
        <v>3</v>
      </c>
      <c r="J121" s="304" t="s">
        <v>62</v>
      </c>
      <c r="K121" s="163">
        <v>1</v>
      </c>
      <c r="L121" s="163">
        <v>0</v>
      </c>
      <c r="M121" s="426">
        <f>G121*H121*5/100</f>
        <v>5833.333333333334</v>
      </c>
      <c r="N121" s="426">
        <f>M121*0.15*7</f>
        <v>6125.000000000001</v>
      </c>
      <c r="O121" s="426">
        <f>M121*7.7*7+N121*2</f>
        <v>326666.6666666667</v>
      </c>
      <c r="P121" s="161">
        <v>1</v>
      </c>
      <c r="Q121" s="162">
        <v>1</v>
      </c>
      <c r="R121" s="162">
        <f t="shared" si="26"/>
        <v>1530000</v>
      </c>
      <c r="S121" s="162">
        <f t="shared" si="28"/>
        <v>1530000</v>
      </c>
      <c r="T121" s="161">
        <f aca="true" t="shared" si="33" ref="T121:T134">R121*Q121*P121*L121</f>
        <v>0</v>
      </c>
      <c r="U121" s="153">
        <f t="shared" si="27"/>
        <v>1530000</v>
      </c>
    </row>
    <row r="122" spans="1:21" s="52" customFormat="1" ht="21.75" customHeight="1">
      <c r="A122" s="213">
        <v>58</v>
      </c>
      <c r="B122" s="214" t="s">
        <v>46</v>
      </c>
      <c r="C122" s="354" t="s">
        <v>969</v>
      </c>
      <c r="D122" s="149" t="s">
        <v>966</v>
      </c>
      <c r="E122" s="150" t="s">
        <v>126</v>
      </c>
      <c r="F122" s="150" t="s">
        <v>1121</v>
      </c>
      <c r="G122" s="161">
        <v>35</v>
      </c>
      <c r="H122" s="162">
        <f t="shared" si="32"/>
        <v>3333.3333333333335</v>
      </c>
      <c r="I122" s="153">
        <v>3</v>
      </c>
      <c r="J122" s="304" t="s">
        <v>25</v>
      </c>
      <c r="K122" s="163">
        <v>1</v>
      </c>
      <c r="L122" s="163">
        <v>0</v>
      </c>
      <c r="M122" s="426">
        <f>G122*H122*5/100</f>
        <v>5833.333333333334</v>
      </c>
      <c r="N122" s="426">
        <f>M122*0.15*7</f>
        <v>6125.000000000001</v>
      </c>
      <c r="O122" s="426">
        <f>M122*7.7*7+N122*2</f>
        <v>326666.6666666667</v>
      </c>
      <c r="P122" s="161">
        <v>1</v>
      </c>
      <c r="Q122" s="162">
        <v>1</v>
      </c>
      <c r="R122" s="162">
        <f t="shared" si="26"/>
        <v>1530000</v>
      </c>
      <c r="S122" s="162">
        <f t="shared" si="28"/>
        <v>1530000</v>
      </c>
      <c r="T122" s="161">
        <f t="shared" si="33"/>
        <v>0</v>
      </c>
      <c r="U122" s="153">
        <f t="shared" si="27"/>
        <v>1530000</v>
      </c>
    </row>
    <row r="123" spans="1:21" s="52" customFormat="1" ht="21.75" customHeight="1">
      <c r="A123" s="213">
        <v>59</v>
      </c>
      <c r="B123" s="214" t="s">
        <v>46</v>
      </c>
      <c r="C123" s="354" t="s">
        <v>970</v>
      </c>
      <c r="D123" s="149" t="s">
        <v>966</v>
      </c>
      <c r="E123" s="150" t="s">
        <v>126</v>
      </c>
      <c r="F123" s="150" t="s">
        <v>1121</v>
      </c>
      <c r="G123" s="161">
        <v>35</v>
      </c>
      <c r="H123" s="162">
        <f t="shared" si="32"/>
        <v>3333.3333333333335</v>
      </c>
      <c r="I123" s="153">
        <v>3</v>
      </c>
      <c r="J123" s="304" t="s">
        <v>25</v>
      </c>
      <c r="K123" s="163">
        <v>1</v>
      </c>
      <c r="L123" s="163">
        <v>0</v>
      </c>
      <c r="M123" s="427">
        <f>G123*H123/5</f>
        <v>23333.333333333336</v>
      </c>
      <c r="N123" s="427">
        <f>M123*0.15*5.5</f>
        <v>19250.000000000004</v>
      </c>
      <c r="O123" s="427">
        <f>M123*7.7*5.5+N123*2</f>
        <v>1026666.6666666667</v>
      </c>
      <c r="P123" s="161">
        <v>1</v>
      </c>
      <c r="Q123" s="162">
        <v>1</v>
      </c>
      <c r="R123" s="162">
        <f t="shared" si="26"/>
        <v>1530000</v>
      </c>
      <c r="S123" s="162">
        <f t="shared" si="28"/>
        <v>1530000</v>
      </c>
      <c r="T123" s="161">
        <f t="shared" si="33"/>
        <v>0</v>
      </c>
      <c r="U123" s="153">
        <f t="shared" si="27"/>
        <v>1530000</v>
      </c>
    </row>
    <row r="124" spans="1:21" s="52" customFormat="1" ht="21.75" customHeight="1">
      <c r="A124" s="213">
        <v>60</v>
      </c>
      <c r="B124" s="214" t="s">
        <v>46</v>
      </c>
      <c r="C124" s="354" t="s">
        <v>971</v>
      </c>
      <c r="D124" s="149" t="s">
        <v>966</v>
      </c>
      <c r="E124" s="150" t="s">
        <v>126</v>
      </c>
      <c r="F124" s="150" t="s">
        <v>1121</v>
      </c>
      <c r="G124" s="161">
        <v>35</v>
      </c>
      <c r="H124" s="162">
        <f t="shared" si="32"/>
        <v>3333.3333333333335</v>
      </c>
      <c r="I124" s="153">
        <v>2</v>
      </c>
      <c r="J124" s="304" t="s">
        <v>77</v>
      </c>
      <c r="K124" s="163">
        <v>1</v>
      </c>
      <c r="L124" s="163">
        <v>0</v>
      </c>
      <c r="M124" s="425">
        <f>G124*H124/5</f>
        <v>23333.333333333336</v>
      </c>
      <c r="N124" s="426">
        <f>M124*0.15*5.5</f>
        <v>19250.000000000004</v>
      </c>
      <c r="O124" s="426">
        <f>M124*7.7*5.5+N124*2</f>
        <v>1026666.6666666667</v>
      </c>
      <c r="P124" s="161">
        <v>1</v>
      </c>
      <c r="Q124" s="162">
        <v>1</v>
      </c>
      <c r="R124" s="162">
        <f t="shared" si="26"/>
        <v>1530000</v>
      </c>
      <c r="S124" s="162">
        <f t="shared" si="28"/>
        <v>1530000</v>
      </c>
      <c r="T124" s="161">
        <f t="shared" si="33"/>
        <v>0</v>
      </c>
      <c r="U124" s="153">
        <f t="shared" si="27"/>
        <v>1530000</v>
      </c>
    </row>
    <row r="125" spans="1:21" s="52" customFormat="1" ht="21.75" customHeight="1">
      <c r="A125" s="213">
        <v>61</v>
      </c>
      <c r="B125" s="214" t="s">
        <v>46</v>
      </c>
      <c r="C125" s="354" t="s">
        <v>972</v>
      </c>
      <c r="D125" s="149" t="s">
        <v>966</v>
      </c>
      <c r="E125" s="150" t="s">
        <v>126</v>
      </c>
      <c r="F125" s="150" t="s">
        <v>1121</v>
      </c>
      <c r="G125" s="161">
        <v>35</v>
      </c>
      <c r="H125" s="162">
        <f t="shared" si="32"/>
        <v>3333.3333333333335</v>
      </c>
      <c r="I125" s="153">
        <v>2</v>
      </c>
      <c r="J125" s="304" t="s">
        <v>77</v>
      </c>
      <c r="K125" s="163">
        <v>1</v>
      </c>
      <c r="L125" s="163">
        <v>0</v>
      </c>
      <c r="M125" s="426">
        <f aca="true" t="shared" si="34" ref="M125:M141">G125*H125*5/100</f>
        <v>5833.333333333334</v>
      </c>
      <c r="N125" s="426">
        <f>M125*0.15*7</f>
        <v>6125.000000000001</v>
      </c>
      <c r="O125" s="426">
        <f>M125*7.7*7+N125*2</f>
        <v>326666.6666666667</v>
      </c>
      <c r="P125" s="161">
        <v>1</v>
      </c>
      <c r="Q125" s="162">
        <v>1</v>
      </c>
      <c r="R125" s="162">
        <f t="shared" si="26"/>
        <v>1530000</v>
      </c>
      <c r="S125" s="162">
        <f t="shared" si="28"/>
        <v>1530000</v>
      </c>
      <c r="T125" s="161">
        <f t="shared" si="33"/>
        <v>0</v>
      </c>
      <c r="U125" s="153">
        <f t="shared" si="27"/>
        <v>1530000</v>
      </c>
    </row>
    <row r="126" spans="1:21" s="52" customFormat="1" ht="21.75" customHeight="1">
      <c r="A126" s="213">
        <v>62</v>
      </c>
      <c r="B126" s="214" t="s">
        <v>46</v>
      </c>
      <c r="C126" s="354" t="s">
        <v>973</v>
      </c>
      <c r="D126" s="149" t="s">
        <v>966</v>
      </c>
      <c r="E126" s="150" t="s">
        <v>126</v>
      </c>
      <c r="F126" s="150" t="s">
        <v>1121</v>
      </c>
      <c r="G126" s="161">
        <v>35</v>
      </c>
      <c r="H126" s="162">
        <f>30000/9</f>
        <v>3333.3333333333335</v>
      </c>
      <c r="I126" s="153">
        <v>2</v>
      </c>
      <c r="J126" s="304" t="s">
        <v>77</v>
      </c>
      <c r="K126" s="163">
        <v>1</v>
      </c>
      <c r="L126" s="163">
        <v>0</v>
      </c>
      <c r="M126" s="426">
        <f t="shared" si="34"/>
        <v>5833.333333333334</v>
      </c>
      <c r="N126" s="426">
        <f aca="true" t="shared" si="35" ref="N126:N137">M126*0.15*7</f>
        <v>6125.000000000001</v>
      </c>
      <c r="O126" s="426">
        <f aca="true" t="shared" si="36" ref="O126:O137">M126*7.7*7+N126*2</f>
        <v>326666.6666666667</v>
      </c>
      <c r="P126" s="161">
        <v>1</v>
      </c>
      <c r="Q126" s="162">
        <v>1</v>
      </c>
      <c r="R126" s="162">
        <f t="shared" si="26"/>
        <v>1530000</v>
      </c>
      <c r="S126" s="162">
        <f t="shared" si="28"/>
        <v>1530000</v>
      </c>
      <c r="T126" s="161">
        <f t="shared" si="33"/>
        <v>0</v>
      </c>
      <c r="U126" s="153">
        <f t="shared" si="27"/>
        <v>1530000</v>
      </c>
    </row>
    <row r="127" spans="1:21" s="52" customFormat="1" ht="21.75" customHeight="1">
      <c r="A127" s="213">
        <v>63</v>
      </c>
      <c r="B127" s="214" t="s">
        <v>46</v>
      </c>
      <c r="C127" s="354" t="s">
        <v>974</v>
      </c>
      <c r="D127" s="149" t="s">
        <v>966</v>
      </c>
      <c r="E127" s="150" t="s">
        <v>126</v>
      </c>
      <c r="F127" s="150" t="s">
        <v>1121</v>
      </c>
      <c r="G127" s="161">
        <v>35</v>
      </c>
      <c r="H127" s="162">
        <f t="shared" si="32"/>
        <v>3333.3333333333335</v>
      </c>
      <c r="I127" s="153">
        <v>2</v>
      </c>
      <c r="J127" s="304" t="s">
        <v>77</v>
      </c>
      <c r="K127" s="163">
        <v>1</v>
      </c>
      <c r="L127" s="163">
        <v>0</v>
      </c>
      <c r="M127" s="426">
        <f t="shared" si="34"/>
        <v>5833.333333333334</v>
      </c>
      <c r="N127" s="426">
        <f t="shared" si="35"/>
        <v>6125.000000000001</v>
      </c>
      <c r="O127" s="426">
        <f t="shared" si="36"/>
        <v>326666.6666666667</v>
      </c>
      <c r="P127" s="161">
        <v>1</v>
      </c>
      <c r="Q127" s="162">
        <v>1</v>
      </c>
      <c r="R127" s="162">
        <f t="shared" si="26"/>
        <v>1530000</v>
      </c>
      <c r="S127" s="162">
        <f t="shared" si="28"/>
        <v>1530000</v>
      </c>
      <c r="T127" s="161">
        <f t="shared" si="33"/>
        <v>0</v>
      </c>
      <c r="U127" s="153">
        <f t="shared" si="27"/>
        <v>1530000</v>
      </c>
    </row>
    <row r="128" spans="1:21" s="52" customFormat="1" ht="21.75" customHeight="1">
      <c r="A128" s="213">
        <v>64</v>
      </c>
      <c r="B128" s="214" t="s">
        <v>46</v>
      </c>
      <c r="C128" s="354" t="s">
        <v>984</v>
      </c>
      <c r="D128" s="283" t="s">
        <v>988</v>
      </c>
      <c r="E128" s="150" t="s">
        <v>748</v>
      </c>
      <c r="F128" s="150"/>
      <c r="G128" s="161">
        <v>21</v>
      </c>
      <c r="H128" s="162">
        <v>1000</v>
      </c>
      <c r="I128" s="153">
        <v>2</v>
      </c>
      <c r="J128" s="304" t="s">
        <v>25</v>
      </c>
      <c r="K128" s="163">
        <v>1</v>
      </c>
      <c r="L128" s="163">
        <v>0</v>
      </c>
      <c r="M128" s="426">
        <f t="shared" si="34"/>
        <v>1050</v>
      </c>
      <c r="N128" s="426">
        <f t="shared" si="35"/>
        <v>1102.5</v>
      </c>
      <c r="O128" s="426">
        <f t="shared" si="36"/>
        <v>58800</v>
      </c>
      <c r="P128" s="161">
        <v>1</v>
      </c>
      <c r="Q128" s="162">
        <v>1</v>
      </c>
      <c r="R128" s="162">
        <f t="shared" si="26"/>
        <v>1530000</v>
      </c>
      <c r="S128" s="162">
        <f t="shared" si="28"/>
        <v>1530000</v>
      </c>
      <c r="T128" s="161">
        <f t="shared" si="33"/>
        <v>0</v>
      </c>
      <c r="U128" s="153">
        <f t="shared" si="27"/>
        <v>1530000</v>
      </c>
    </row>
    <row r="129" spans="1:21" s="52" customFormat="1" ht="21.75" customHeight="1">
      <c r="A129" s="213">
        <v>65</v>
      </c>
      <c r="B129" s="214" t="s">
        <v>46</v>
      </c>
      <c r="C129" s="354" t="s">
        <v>985</v>
      </c>
      <c r="D129" s="283" t="s">
        <v>988</v>
      </c>
      <c r="E129" s="150" t="s">
        <v>748</v>
      </c>
      <c r="F129" s="150"/>
      <c r="G129" s="161">
        <v>21</v>
      </c>
      <c r="H129" s="162">
        <v>1000</v>
      </c>
      <c r="I129" s="153">
        <v>2</v>
      </c>
      <c r="J129" s="304" t="s">
        <v>25</v>
      </c>
      <c r="K129" s="163">
        <v>1</v>
      </c>
      <c r="L129" s="163">
        <v>0</v>
      </c>
      <c r="M129" s="426">
        <f t="shared" si="34"/>
        <v>1050</v>
      </c>
      <c r="N129" s="426">
        <f t="shared" si="35"/>
        <v>1102.5</v>
      </c>
      <c r="O129" s="426">
        <f t="shared" si="36"/>
        <v>58800</v>
      </c>
      <c r="P129" s="161">
        <v>1</v>
      </c>
      <c r="Q129" s="162">
        <v>1</v>
      </c>
      <c r="R129" s="162">
        <f aca="true" t="shared" si="37" ref="R129:R158">68*$R$2</f>
        <v>1530000</v>
      </c>
      <c r="S129" s="162">
        <f aca="true" t="shared" si="38" ref="S129:S142">R129*Q129*P129*K129</f>
        <v>1530000</v>
      </c>
      <c r="T129" s="161">
        <f t="shared" si="33"/>
        <v>0</v>
      </c>
      <c r="U129" s="153">
        <f aca="true" t="shared" si="39" ref="U129:U138">S129+T129</f>
        <v>1530000</v>
      </c>
    </row>
    <row r="130" spans="1:21" s="52" customFormat="1" ht="21.75" customHeight="1">
      <c r="A130" s="213">
        <v>66</v>
      </c>
      <c r="B130" s="214" t="s">
        <v>46</v>
      </c>
      <c r="C130" s="354" t="s">
        <v>986</v>
      </c>
      <c r="D130" s="283" t="s">
        <v>988</v>
      </c>
      <c r="E130" s="150" t="s">
        <v>748</v>
      </c>
      <c r="F130" s="150"/>
      <c r="G130" s="161">
        <v>21</v>
      </c>
      <c r="H130" s="162">
        <v>1000</v>
      </c>
      <c r="I130" s="153">
        <v>2</v>
      </c>
      <c r="J130" s="304" t="s">
        <v>25</v>
      </c>
      <c r="K130" s="163">
        <v>1</v>
      </c>
      <c r="L130" s="163">
        <v>0</v>
      </c>
      <c r="M130" s="426">
        <f t="shared" si="34"/>
        <v>1050</v>
      </c>
      <c r="N130" s="426">
        <f t="shared" si="35"/>
        <v>1102.5</v>
      </c>
      <c r="O130" s="426">
        <f t="shared" si="36"/>
        <v>58800</v>
      </c>
      <c r="P130" s="161">
        <v>1</v>
      </c>
      <c r="Q130" s="162">
        <v>1</v>
      </c>
      <c r="R130" s="162">
        <f t="shared" si="37"/>
        <v>1530000</v>
      </c>
      <c r="S130" s="162">
        <f t="shared" si="38"/>
        <v>1530000</v>
      </c>
      <c r="T130" s="161">
        <f t="shared" si="33"/>
        <v>0</v>
      </c>
      <c r="U130" s="153">
        <f t="shared" si="39"/>
        <v>1530000</v>
      </c>
    </row>
    <row r="131" spans="1:34" s="47" customFormat="1" ht="21.75" customHeight="1">
      <c r="A131" s="213">
        <v>67</v>
      </c>
      <c r="B131" s="214" t="s">
        <v>46</v>
      </c>
      <c r="C131" s="354" t="s">
        <v>987</v>
      </c>
      <c r="D131" s="149" t="s">
        <v>988</v>
      </c>
      <c r="E131" s="150" t="s">
        <v>748</v>
      </c>
      <c r="F131" s="150"/>
      <c r="G131" s="161">
        <v>21</v>
      </c>
      <c r="H131" s="162">
        <v>1000</v>
      </c>
      <c r="I131" s="153">
        <v>2</v>
      </c>
      <c r="J131" s="304" t="s">
        <v>25</v>
      </c>
      <c r="K131" s="163">
        <v>1</v>
      </c>
      <c r="L131" s="163">
        <v>0</v>
      </c>
      <c r="M131" s="426">
        <f t="shared" si="34"/>
        <v>1050</v>
      </c>
      <c r="N131" s="426">
        <f t="shared" si="35"/>
        <v>1102.5</v>
      </c>
      <c r="O131" s="426">
        <f t="shared" si="36"/>
        <v>58800</v>
      </c>
      <c r="P131" s="161">
        <v>1</v>
      </c>
      <c r="Q131" s="162">
        <v>1</v>
      </c>
      <c r="R131" s="162">
        <f t="shared" si="37"/>
        <v>1530000</v>
      </c>
      <c r="S131" s="162">
        <f t="shared" si="38"/>
        <v>1530000</v>
      </c>
      <c r="T131" s="161">
        <f t="shared" si="33"/>
        <v>0</v>
      </c>
      <c r="U131" s="153">
        <f t="shared" si="39"/>
        <v>1530000</v>
      </c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s="47" customFormat="1" ht="21.75" customHeight="1">
      <c r="A132" s="213">
        <v>68</v>
      </c>
      <c r="B132" s="214" t="s">
        <v>46</v>
      </c>
      <c r="C132" s="354" t="s">
        <v>1015</v>
      </c>
      <c r="D132" s="149" t="s">
        <v>1016</v>
      </c>
      <c r="E132" s="150" t="s">
        <v>1207</v>
      </c>
      <c r="F132" s="150" t="s">
        <v>1112</v>
      </c>
      <c r="G132" s="161">
        <v>12</v>
      </c>
      <c r="H132" s="162">
        <v>3000</v>
      </c>
      <c r="I132" s="153">
        <v>2</v>
      </c>
      <c r="J132" s="304" t="s">
        <v>77</v>
      </c>
      <c r="K132" s="163">
        <v>1</v>
      </c>
      <c r="L132" s="163">
        <v>0</v>
      </c>
      <c r="M132" s="426">
        <f t="shared" si="34"/>
        <v>1800</v>
      </c>
      <c r="N132" s="426">
        <f t="shared" si="35"/>
        <v>1890</v>
      </c>
      <c r="O132" s="426">
        <f t="shared" si="36"/>
        <v>100800</v>
      </c>
      <c r="P132" s="161">
        <v>1</v>
      </c>
      <c r="Q132" s="162">
        <v>1</v>
      </c>
      <c r="R132" s="162">
        <f t="shared" si="37"/>
        <v>1530000</v>
      </c>
      <c r="S132" s="162">
        <f t="shared" si="38"/>
        <v>1530000</v>
      </c>
      <c r="T132" s="161">
        <f t="shared" si="33"/>
        <v>0</v>
      </c>
      <c r="U132" s="153">
        <f t="shared" si="39"/>
        <v>1530000</v>
      </c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s="47" customFormat="1" ht="21.75" customHeight="1">
      <c r="A133" s="213">
        <v>69</v>
      </c>
      <c r="B133" s="214" t="s">
        <v>46</v>
      </c>
      <c r="C133" s="354" t="s">
        <v>1017</v>
      </c>
      <c r="D133" s="149" t="s">
        <v>1016</v>
      </c>
      <c r="E133" s="150" t="s">
        <v>1207</v>
      </c>
      <c r="F133" s="150" t="s">
        <v>1112</v>
      </c>
      <c r="G133" s="161">
        <v>12</v>
      </c>
      <c r="H133" s="162">
        <v>3000</v>
      </c>
      <c r="I133" s="153">
        <v>2</v>
      </c>
      <c r="J133" s="304" t="s">
        <v>77</v>
      </c>
      <c r="K133" s="163">
        <v>1</v>
      </c>
      <c r="L133" s="163">
        <v>0</v>
      </c>
      <c r="M133" s="426">
        <f t="shared" si="34"/>
        <v>1800</v>
      </c>
      <c r="N133" s="426">
        <f t="shared" si="35"/>
        <v>1890</v>
      </c>
      <c r="O133" s="426">
        <f t="shared" si="36"/>
        <v>100800</v>
      </c>
      <c r="P133" s="161">
        <v>1</v>
      </c>
      <c r="Q133" s="162">
        <v>1</v>
      </c>
      <c r="R133" s="162">
        <f t="shared" si="37"/>
        <v>1530000</v>
      </c>
      <c r="S133" s="162">
        <f t="shared" si="38"/>
        <v>1530000</v>
      </c>
      <c r="T133" s="161">
        <f t="shared" si="33"/>
        <v>0</v>
      </c>
      <c r="U133" s="153">
        <f t="shared" si="39"/>
        <v>1530000</v>
      </c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s="47" customFormat="1" ht="21.75" customHeight="1">
      <c r="A134" s="213">
        <v>70</v>
      </c>
      <c r="B134" s="214" t="s">
        <v>46</v>
      </c>
      <c r="C134" s="354" t="s">
        <v>1018</v>
      </c>
      <c r="D134" s="149" t="s">
        <v>1016</v>
      </c>
      <c r="E134" s="150" t="s">
        <v>1207</v>
      </c>
      <c r="F134" s="150" t="s">
        <v>1112</v>
      </c>
      <c r="G134" s="161">
        <v>12</v>
      </c>
      <c r="H134" s="162">
        <v>3000</v>
      </c>
      <c r="I134" s="153">
        <v>2</v>
      </c>
      <c r="J134" s="304" t="s">
        <v>77</v>
      </c>
      <c r="K134" s="163">
        <v>1</v>
      </c>
      <c r="L134" s="163">
        <v>0</v>
      </c>
      <c r="M134" s="426">
        <f t="shared" si="34"/>
        <v>1800</v>
      </c>
      <c r="N134" s="426">
        <f t="shared" si="35"/>
        <v>1890</v>
      </c>
      <c r="O134" s="426">
        <f t="shared" si="36"/>
        <v>100800</v>
      </c>
      <c r="P134" s="161">
        <v>1</v>
      </c>
      <c r="Q134" s="162">
        <v>1</v>
      </c>
      <c r="R134" s="162">
        <f t="shared" si="37"/>
        <v>1530000</v>
      </c>
      <c r="S134" s="162">
        <f t="shared" si="38"/>
        <v>1530000</v>
      </c>
      <c r="T134" s="161">
        <f t="shared" si="33"/>
        <v>0</v>
      </c>
      <c r="U134" s="153">
        <f t="shared" si="39"/>
        <v>1530000</v>
      </c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s="47" customFormat="1" ht="21.75" customHeight="1">
      <c r="A135" s="213">
        <v>71</v>
      </c>
      <c r="B135" s="214" t="s">
        <v>17</v>
      </c>
      <c r="C135" s="354" t="s">
        <v>1187</v>
      </c>
      <c r="D135" s="284" t="s">
        <v>1188</v>
      </c>
      <c r="E135" s="150" t="s">
        <v>91</v>
      </c>
      <c r="F135" s="150"/>
      <c r="G135" s="161">
        <v>10</v>
      </c>
      <c r="H135" s="162">
        <v>500</v>
      </c>
      <c r="I135" s="153">
        <v>3</v>
      </c>
      <c r="J135" s="304" t="s">
        <v>43</v>
      </c>
      <c r="K135" s="163">
        <v>1</v>
      </c>
      <c r="L135" s="163"/>
      <c r="M135" s="426">
        <f t="shared" si="34"/>
        <v>250</v>
      </c>
      <c r="N135" s="426">
        <f t="shared" si="35"/>
        <v>262.5</v>
      </c>
      <c r="O135" s="426">
        <f t="shared" si="36"/>
        <v>14000</v>
      </c>
      <c r="P135" s="161">
        <v>1</v>
      </c>
      <c r="Q135" s="162">
        <v>1</v>
      </c>
      <c r="R135" s="162">
        <f t="shared" si="37"/>
        <v>1530000</v>
      </c>
      <c r="S135" s="162">
        <f t="shared" si="38"/>
        <v>1530000</v>
      </c>
      <c r="T135" s="161">
        <f aca="true" t="shared" si="40" ref="T135:T144">L135*P135*Q135*R135</f>
        <v>0</v>
      </c>
      <c r="U135" s="153">
        <f t="shared" si="39"/>
        <v>1530000</v>
      </c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s="47" customFormat="1" ht="21.75" customHeight="1">
      <c r="A136" s="213">
        <v>72</v>
      </c>
      <c r="B136" s="214" t="s">
        <v>17</v>
      </c>
      <c r="C136" s="354" t="s">
        <v>1313</v>
      </c>
      <c r="D136" s="284" t="s">
        <v>1312</v>
      </c>
      <c r="E136" s="150" t="s">
        <v>20</v>
      </c>
      <c r="F136" s="150"/>
      <c r="G136" s="161">
        <v>10</v>
      </c>
      <c r="H136" s="162">
        <v>350</v>
      </c>
      <c r="I136" s="153">
        <v>2</v>
      </c>
      <c r="J136" s="304" t="s">
        <v>25</v>
      </c>
      <c r="K136" s="163">
        <v>1</v>
      </c>
      <c r="L136" s="163"/>
      <c r="M136" s="426">
        <f t="shared" si="34"/>
        <v>175</v>
      </c>
      <c r="N136" s="426">
        <f t="shared" si="35"/>
        <v>183.75</v>
      </c>
      <c r="O136" s="426">
        <f t="shared" si="36"/>
        <v>9800</v>
      </c>
      <c r="P136" s="161">
        <v>1</v>
      </c>
      <c r="Q136" s="162">
        <v>1</v>
      </c>
      <c r="R136" s="162">
        <f t="shared" si="37"/>
        <v>1530000</v>
      </c>
      <c r="S136" s="162">
        <f t="shared" si="38"/>
        <v>1530000</v>
      </c>
      <c r="T136" s="161">
        <f t="shared" si="40"/>
        <v>0</v>
      </c>
      <c r="U136" s="153">
        <f t="shared" si="39"/>
        <v>1530000</v>
      </c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s="47" customFormat="1" ht="21.75" customHeight="1">
      <c r="A137" s="213">
        <v>73</v>
      </c>
      <c r="B137" s="214" t="s">
        <v>17</v>
      </c>
      <c r="C137" s="354" t="s">
        <v>1333</v>
      </c>
      <c r="D137" s="284" t="s">
        <v>1334</v>
      </c>
      <c r="E137" s="150" t="s">
        <v>24</v>
      </c>
      <c r="F137" s="150"/>
      <c r="G137" s="161">
        <v>10</v>
      </c>
      <c r="H137" s="162">
        <v>600</v>
      </c>
      <c r="I137" s="153">
        <v>2</v>
      </c>
      <c r="J137" s="304" t="s">
        <v>25</v>
      </c>
      <c r="K137" s="163">
        <v>1</v>
      </c>
      <c r="L137" s="163"/>
      <c r="M137" s="426">
        <f t="shared" si="34"/>
        <v>300</v>
      </c>
      <c r="N137" s="426">
        <f t="shared" si="35"/>
        <v>315</v>
      </c>
      <c r="O137" s="426">
        <f t="shared" si="36"/>
        <v>16800</v>
      </c>
      <c r="P137" s="236">
        <v>1</v>
      </c>
      <c r="Q137" s="162">
        <v>1</v>
      </c>
      <c r="R137" s="162">
        <f t="shared" si="37"/>
        <v>1530000</v>
      </c>
      <c r="S137" s="162">
        <f t="shared" si="38"/>
        <v>1530000</v>
      </c>
      <c r="T137" s="161">
        <f t="shared" si="40"/>
        <v>0</v>
      </c>
      <c r="U137" s="153">
        <f t="shared" si="39"/>
        <v>1530000</v>
      </c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s="47" customFormat="1" ht="21.75" customHeight="1">
      <c r="A138" s="213">
        <v>74</v>
      </c>
      <c r="B138" s="214" t="s">
        <v>17</v>
      </c>
      <c r="C138" s="354" t="s">
        <v>1435</v>
      </c>
      <c r="D138" s="284" t="s">
        <v>1436</v>
      </c>
      <c r="E138" s="150" t="s">
        <v>1208</v>
      </c>
      <c r="F138" s="150"/>
      <c r="G138" s="161">
        <v>11</v>
      </c>
      <c r="H138" s="162">
        <v>600</v>
      </c>
      <c r="I138" s="153">
        <v>2</v>
      </c>
      <c r="J138" s="304" t="s">
        <v>25</v>
      </c>
      <c r="K138" s="163">
        <v>1</v>
      </c>
      <c r="L138" s="163"/>
      <c r="M138" s="426">
        <f t="shared" si="34"/>
        <v>330</v>
      </c>
      <c r="N138" s="426">
        <f>M138*0.15*7</f>
        <v>346.5</v>
      </c>
      <c r="O138" s="426">
        <f>M138*7.7*7+N138*2</f>
        <v>18480</v>
      </c>
      <c r="P138" s="236">
        <v>1</v>
      </c>
      <c r="Q138" s="162">
        <v>1</v>
      </c>
      <c r="R138" s="162">
        <f t="shared" si="37"/>
        <v>1530000</v>
      </c>
      <c r="S138" s="162">
        <f t="shared" si="38"/>
        <v>1530000</v>
      </c>
      <c r="T138" s="161">
        <f t="shared" si="40"/>
        <v>0</v>
      </c>
      <c r="U138" s="153">
        <f t="shared" si="39"/>
        <v>1530000</v>
      </c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s="47" customFormat="1" ht="21.75" customHeight="1">
      <c r="A139" s="213">
        <v>75</v>
      </c>
      <c r="B139" s="214" t="s">
        <v>17</v>
      </c>
      <c r="C139" s="354" t="s">
        <v>1212</v>
      </c>
      <c r="D139" s="284" t="s">
        <v>1450</v>
      </c>
      <c r="E139" s="150" t="s">
        <v>338</v>
      </c>
      <c r="F139" s="150"/>
      <c r="G139" s="161">
        <v>19</v>
      </c>
      <c r="H139" s="162">
        <v>2500</v>
      </c>
      <c r="I139" s="153">
        <v>3</v>
      </c>
      <c r="J139" s="304" t="s">
        <v>40</v>
      </c>
      <c r="K139" s="163">
        <v>1</v>
      </c>
      <c r="L139" s="163"/>
      <c r="M139" s="426">
        <f t="shared" si="34"/>
        <v>2375</v>
      </c>
      <c r="N139" s="426">
        <f>M139*0.15*7</f>
        <v>2493.75</v>
      </c>
      <c r="O139" s="426">
        <f>M139*7.7*7+N139*2</f>
        <v>133000</v>
      </c>
      <c r="P139" s="236">
        <v>1</v>
      </c>
      <c r="Q139" s="162">
        <v>1</v>
      </c>
      <c r="R139" s="162">
        <f t="shared" si="37"/>
        <v>1530000</v>
      </c>
      <c r="S139" s="162">
        <f t="shared" si="38"/>
        <v>1530000</v>
      </c>
      <c r="T139" s="161">
        <f t="shared" si="40"/>
        <v>0</v>
      </c>
      <c r="U139" s="153">
        <f aca="true" t="shared" si="41" ref="U139:U144">R139*Q139*P139</f>
        <v>1530000</v>
      </c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s="47" customFormat="1" ht="21.75" customHeight="1">
      <c r="A140" s="213">
        <v>76</v>
      </c>
      <c r="B140" s="214" t="s">
        <v>46</v>
      </c>
      <c r="C140" s="354" t="s">
        <v>1465</v>
      </c>
      <c r="D140" s="284" t="s">
        <v>1464</v>
      </c>
      <c r="E140" s="150" t="s">
        <v>114</v>
      </c>
      <c r="F140" s="150"/>
      <c r="G140" s="161">
        <v>20</v>
      </c>
      <c r="H140" s="162">
        <v>2000</v>
      </c>
      <c r="I140" s="153">
        <v>3</v>
      </c>
      <c r="J140" s="304" t="s">
        <v>40</v>
      </c>
      <c r="K140" s="163">
        <v>1</v>
      </c>
      <c r="L140" s="163"/>
      <c r="M140" s="426">
        <f t="shared" si="34"/>
        <v>2000</v>
      </c>
      <c r="N140" s="426">
        <f>M140*0.15*7</f>
        <v>2100</v>
      </c>
      <c r="O140" s="426">
        <f>M140*7.7*7+N140*2</f>
        <v>112000</v>
      </c>
      <c r="P140" s="236">
        <v>1</v>
      </c>
      <c r="Q140" s="162">
        <v>1</v>
      </c>
      <c r="R140" s="162">
        <f t="shared" si="37"/>
        <v>1530000</v>
      </c>
      <c r="S140" s="162">
        <f t="shared" si="38"/>
        <v>1530000</v>
      </c>
      <c r="T140" s="161">
        <f t="shared" si="40"/>
        <v>0</v>
      </c>
      <c r="U140" s="153">
        <f t="shared" si="41"/>
        <v>1530000</v>
      </c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s="47" customFormat="1" ht="21.75" customHeight="1">
      <c r="A141" s="213">
        <v>77</v>
      </c>
      <c r="B141" s="214" t="s">
        <v>46</v>
      </c>
      <c r="C141" s="354" t="s">
        <v>1466</v>
      </c>
      <c r="D141" s="284" t="s">
        <v>1464</v>
      </c>
      <c r="E141" s="150" t="s">
        <v>114</v>
      </c>
      <c r="F141" s="150"/>
      <c r="G141" s="161">
        <v>20</v>
      </c>
      <c r="H141" s="162">
        <v>2000</v>
      </c>
      <c r="I141" s="153">
        <v>3</v>
      </c>
      <c r="J141" s="304" t="s">
        <v>40</v>
      </c>
      <c r="K141" s="163">
        <v>1</v>
      </c>
      <c r="L141" s="163"/>
      <c r="M141" s="426">
        <f t="shared" si="34"/>
        <v>2000</v>
      </c>
      <c r="N141" s="426">
        <f>M141*0.15*7</f>
        <v>2100</v>
      </c>
      <c r="O141" s="426">
        <f>M141*7.7*7+N141*2</f>
        <v>112000</v>
      </c>
      <c r="P141" s="236">
        <v>1</v>
      </c>
      <c r="Q141" s="162">
        <v>1</v>
      </c>
      <c r="R141" s="162">
        <f t="shared" si="37"/>
        <v>1530000</v>
      </c>
      <c r="S141" s="162">
        <f t="shared" si="38"/>
        <v>1530000</v>
      </c>
      <c r="T141" s="161">
        <f t="shared" si="40"/>
        <v>0</v>
      </c>
      <c r="U141" s="153">
        <f t="shared" si="41"/>
        <v>1530000</v>
      </c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s="47" customFormat="1" ht="21.75" customHeight="1">
      <c r="A142" s="213">
        <v>78</v>
      </c>
      <c r="B142" s="214" t="s">
        <v>17</v>
      </c>
      <c r="C142" s="354" t="s">
        <v>1473</v>
      </c>
      <c r="D142" s="284" t="s">
        <v>1474</v>
      </c>
      <c r="E142" s="150" t="s">
        <v>114</v>
      </c>
      <c r="F142" s="150" t="s">
        <v>1112</v>
      </c>
      <c r="G142" s="161">
        <v>27</v>
      </c>
      <c r="H142" s="162">
        <v>3500</v>
      </c>
      <c r="I142" s="153">
        <v>3</v>
      </c>
      <c r="J142" s="304" t="s">
        <v>40</v>
      </c>
      <c r="K142" s="163">
        <v>1</v>
      </c>
      <c r="L142" s="163"/>
      <c r="M142" s="426">
        <f>G142*H142/5</f>
        <v>18900</v>
      </c>
      <c r="N142" s="426">
        <f>M142*0.15*5.5</f>
        <v>15592.5</v>
      </c>
      <c r="O142" s="426">
        <f>M142*7.7*5.5+N142*2</f>
        <v>831600</v>
      </c>
      <c r="P142" s="236">
        <v>1</v>
      </c>
      <c r="Q142" s="162">
        <v>1</v>
      </c>
      <c r="R142" s="162">
        <f t="shared" si="37"/>
        <v>1530000</v>
      </c>
      <c r="S142" s="162">
        <f t="shared" si="38"/>
        <v>1530000</v>
      </c>
      <c r="T142" s="161">
        <f t="shared" si="40"/>
        <v>0</v>
      </c>
      <c r="U142" s="153">
        <f t="shared" si="41"/>
        <v>1530000</v>
      </c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s="47" customFormat="1" ht="21.75" customHeight="1">
      <c r="A143" s="213">
        <v>79</v>
      </c>
      <c r="B143" s="214" t="s">
        <v>17</v>
      </c>
      <c r="C143" s="354" t="s">
        <v>1490</v>
      </c>
      <c r="D143" s="284" t="s">
        <v>1491</v>
      </c>
      <c r="E143" s="150" t="s">
        <v>338</v>
      </c>
      <c r="F143" s="150"/>
      <c r="G143" s="161">
        <v>9</v>
      </c>
      <c r="H143" s="162">
        <v>300</v>
      </c>
      <c r="I143" s="153">
        <v>2</v>
      </c>
      <c r="J143" s="304" t="s">
        <v>77</v>
      </c>
      <c r="K143" s="163">
        <v>1</v>
      </c>
      <c r="L143" s="163"/>
      <c r="M143" s="426">
        <f>G143*H143/5</f>
        <v>540</v>
      </c>
      <c r="N143" s="426">
        <f>M143*0.15*5.5</f>
        <v>445.5</v>
      </c>
      <c r="O143" s="426">
        <f>M143*7.7*5.5+N143*2</f>
        <v>23760</v>
      </c>
      <c r="P143" s="236">
        <v>1</v>
      </c>
      <c r="Q143" s="162">
        <v>1</v>
      </c>
      <c r="R143" s="162">
        <f t="shared" si="37"/>
        <v>1530000</v>
      </c>
      <c r="S143" s="162">
        <f aca="true" t="shared" si="42" ref="S143:S153">R143*Q143*P143*K143</f>
        <v>1530000</v>
      </c>
      <c r="T143" s="161">
        <f t="shared" si="40"/>
        <v>0</v>
      </c>
      <c r="U143" s="153">
        <f t="shared" si="41"/>
        <v>1530000</v>
      </c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s="47" customFormat="1" ht="21.75" customHeight="1">
      <c r="A144" s="213">
        <v>80</v>
      </c>
      <c r="B144" s="214" t="s">
        <v>46</v>
      </c>
      <c r="C144" s="354" t="s">
        <v>1498</v>
      </c>
      <c r="D144" s="284" t="s">
        <v>1499</v>
      </c>
      <c r="E144" s="150" t="s">
        <v>1208</v>
      </c>
      <c r="F144" s="150"/>
      <c r="G144" s="161">
        <v>12</v>
      </c>
      <c r="H144" s="162">
        <v>2000</v>
      </c>
      <c r="I144" s="153">
        <v>2</v>
      </c>
      <c r="J144" s="304" t="s">
        <v>62</v>
      </c>
      <c r="K144" s="163">
        <v>1</v>
      </c>
      <c r="L144" s="163"/>
      <c r="M144" s="426">
        <f>G144*H144*5/100</f>
        <v>1200</v>
      </c>
      <c r="N144" s="426">
        <f>M144*0.15*7</f>
        <v>1260</v>
      </c>
      <c r="O144" s="426">
        <f>M144*7.7*7+N144*2</f>
        <v>67200</v>
      </c>
      <c r="P144" s="236">
        <v>1</v>
      </c>
      <c r="Q144" s="162">
        <v>1</v>
      </c>
      <c r="R144" s="162">
        <f t="shared" si="37"/>
        <v>1530000</v>
      </c>
      <c r="S144" s="162">
        <f t="shared" si="42"/>
        <v>1530000</v>
      </c>
      <c r="T144" s="161">
        <f t="shared" si="40"/>
        <v>0</v>
      </c>
      <c r="U144" s="153">
        <f t="shared" si="41"/>
        <v>1530000</v>
      </c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s="47" customFormat="1" ht="21.75" customHeight="1">
      <c r="A145" s="213">
        <v>81</v>
      </c>
      <c r="B145" s="214" t="s">
        <v>17</v>
      </c>
      <c r="C145" s="354" t="s">
        <v>271</v>
      </c>
      <c r="D145" s="284" t="s">
        <v>272</v>
      </c>
      <c r="E145" s="150" t="s">
        <v>24</v>
      </c>
      <c r="F145" s="150"/>
      <c r="G145" s="161">
        <v>12</v>
      </c>
      <c r="H145" s="317">
        <v>450</v>
      </c>
      <c r="I145" s="153">
        <v>2</v>
      </c>
      <c r="J145" s="304" t="s">
        <v>25</v>
      </c>
      <c r="K145" s="163">
        <v>1</v>
      </c>
      <c r="L145" s="163">
        <v>0</v>
      </c>
      <c r="M145" s="426">
        <f>G145*H145/5</f>
        <v>1080</v>
      </c>
      <c r="N145" s="426">
        <f>M145*0.15*5.5</f>
        <v>891</v>
      </c>
      <c r="O145" s="426">
        <f>M145*7.7*5.5+N145*2</f>
        <v>47520</v>
      </c>
      <c r="P145" s="236">
        <v>1</v>
      </c>
      <c r="Q145" s="317">
        <v>1</v>
      </c>
      <c r="R145" s="317">
        <f t="shared" si="37"/>
        <v>1530000</v>
      </c>
      <c r="S145" s="317">
        <f t="shared" si="42"/>
        <v>1530000</v>
      </c>
      <c r="T145" s="161">
        <f aca="true" t="shared" si="43" ref="T145:T153">L145*P145*Q145*R145</f>
        <v>0</v>
      </c>
      <c r="U145" s="153">
        <f aca="true" t="shared" si="44" ref="U145:U153">R145*Q145*P145</f>
        <v>1530000</v>
      </c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s="47" customFormat="1" ht="21.75" customHeight="1">
      <c r="A146" s="213">
        <v>82</v>
      </c>
      <c r="B146" s="214" t="s">
        <v>17</v>
      </c>
      <c r="C146" s="354" t="s">
        <v>1536</v>
      </c>
      <c r="D146" s="284" t="s">
        <v>977</v>
      </c>
      <c r="E146" s="150" t="s">
        <v>332</v>
      </c>
      <c r="F146" s="150"/>
      <c r="G146" s="161">
        <v>7</v>
      </c>
      <c r="H146" s="317">
        <v>4300</v>
      </c>
      <c r="I146" s="153">
        <v>2</v>
      </c>
      <c r="J146" s="304" t="s">
        <v>25</v>
      </c>
      <c r="K146" s="163">
        <v>1</v>
      </c>
      <c r="L146" s="163"/>
      <c r="M146" s="426">
        <f>G146*H146/5</f>
        <v>6020</v>
      </c>
      <c r="N146" s="426">
        <f>M146*0.15*5.5</f>
        <v>4966.5</v>
      </c>
      <c r="O146" s="426">
        <f>M146*7.7*5.5+N146*2</f>
        <v>264880</v>
      </c>
      <c r="P146" s="161">
        <v>1</v>
      </c>
      <c r="Q146" s="429">
        <v>1</v>
      </c>
      <c r="R146" s="317">
        <f t="shared" si="37"/>
        <v>1530000</v>
      </c>
      <c r="S146" s="317">
        <f t="shared" si="42"/>
        <v>1530000</v>
      </c>
      <c r="T146" s="161">
        <f t="shared" si="43"/>
        <v>0</v>
      </c>
      <c r="U146" s="153">
        <f t="shared" si="44"/>
        <v>1530000</v>
      </c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s="47" customFormat="1" ht="21.75" customHeight="1">
      <c r="A147" s="213">
        <v>83</v>
      </c>
      <c r="B147" s="214" t="s">
        <v>17</v>
      </c>
      <c r="C147" s="354" t="s">
        <v>1537</v>
      </c>
      <c r="D147" s="284" t="s">
        <v>1538</v>
      </c>
      <c r="E147" s="150" t="s">
        <v>114</v>
      </c>
      <c r="F147" s="150" t="s">
        <v>1112</v>
      </c>
      <c r="G147" s="161">
        <v>27</v>
      </c>
      <c r="H147" s="317">
        <v>3500</v>
      </c>
      <c r="I147" s="153">
        <v>3</v>
      </c>
      <c r="J147" s="304" t="s">
        <v>62</v>
      </c>
      <c r="K147" s="163">
        <v>1</v>
      </c>
      <c r="L147" s="163"/>
      <c r="M147" s="426">
        <f>G147*H147/5</f>
        <v>18900</v>
      </c>
      <c r="N147" s="426">
        <f>M147*0.15*5.5</f>
        <v>15592.5</v>
      </c>
      <c r="O147" s="426">
        <f>M147*7.7*5.5+N147*2</f>
        <v>831600</v>
      </c>
      <c r="P147" s="236">
        <v>1</v>
      </c>
      <c r="Q147" s="317">
        <v>1</v>
      </c>
      <c r="R147" s="317">
        <f t="shared" si="37"/>
        <v>1530000</v>
      </c>
      <c r="S147" s="317">
        <f t="shared" si="42"/>
        <v>1530000</v>
      </c>
      <c r="T147" s="161">
        <f t="shared" si="43"/>
        <v>0</v>
      </c>
      <c r="U147" s="153">
        <f t="shared" si="44"/>
        <v>1530000</v>
      </c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s="47" customFormat="1" ht="21.75" customHeight="1">
      <c r="A148" s="213">
        <v>84</v>
      </c>
      <c r="B148" s="214" t="s">
        <v>46</v>
      </c>
      <c r="C148" s="354" t="s">
        <v>1540</v>
      </c>
      <c r="D148" s="284" t="s">
        <v>1539</v>
      </c>
      <c r="E148" s="150" t="s">
        <v>351</v>
      </c>
      <c r="F148" s="150"/>
      <c r="G148" s="161">
        <v>15</v>
      </c>
      <c r="H148" s="317">
        <f>4000/2</f>
        <v>2000</v>
      </c>
      <c r="I148" s="153">
        <v>2</v>
      </c>
      <c r="J148" s="304" t="s">
        <v>40</v>
      </c>
      <c r="K148" s="163">
        <v>1</v>
      </c>
      <c r="L148" s="163"/>
      <c r="M148" s="426">
        <f>G148*H148*5/100</f>
        <v>1500</v>
      </c>
      <c r="N148" s="426">
        <f>M148*0.15*7</f>
        <v>1575</v>
      </c>
      <c r="O148" s="426">
        <f aca="true" t="shared" si="45" ref="O148:O153">M148*7.7*7+N148*2</f>
        <v>84000</v>
      </c>
      <c r="P148" s="161">
        <v>1</v>
      </c>
      <c r="Q148" s="317">
        <v>1</v>
      </c>
      <c r="R148" s="317">
        <f t="shared" si="37"/>
        <v>1530000</v>
      </c>
      <c r="S148" s="317">
        <f t="shared" si="42"/>
        <v>1530000</v>
      </c>
      <c r="T148" s="161">
        <f t="shared" si="43"/>
        <v>0</v>
      </c>
      <c r="U148" s="153">
        <f t="shared" si="44"/>
        <v>1530000</v>
      </c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s="47" customFormat="1" ht="21.75" customHeight="1">
      <c r="A149" s="213">
        <v>85</v>
      </c>
      <c r="B149" s="214" t="s">
        <v>46</v>
      </c>
      <c r="C149" s="354" t="s">
        <v>1542</v>
      </c>
      <c r="D149" s="284" t="s">
        <v>1539</v>
      </c>
      <c r="E149" s="150" t="s">
        <v>351</v>
      </c>
      <c r="F149" s="150"/>
      <c r="G149" s="161">
        <v>15</v>
      </c>
      <c r="H149" s="317">
        <f>4000/2</f>
        <v>2000</v>
      </c>
      <c r="I149" s="153">
        <v>2</v>
      </c>
      <c r="J149" s="304" t="s">
        <v>40</v>
      </c>
      <c r="K149" s="163">
        <v>1</v>
      </c>
      <c r="L149" s="163"/>
      <c r="M149" s="426">
        <f>G149*H149*5/100</f>
        <v>1500</v>
      </c>
      <c r="N149" s="426">
        <f>M149*0.15*7</f>
        <v>1575</v>
      </c>
      <c r="O149" s="426">
        <f t="shared" si="45"/>
        <v>84000</v>
      </c>
      <c r="P149" s="161">
        <v>1</v>
      </c>
      <c r="Q149" s="317">
        <v>1</v>
      </c>
      <c r="R149" s="317">
        <f t="shared" si="37"/>
        <v>1530000</v>
      </c>
      <c r="S149" s="317">
        <f t="shared" si="42"/>
        <v>1530000</v>
      </c>
      <c r="T149" s="161">
        <f t="shared" si="43"/>
        <v>0</v>
      </c>
      <c r="U149" s="153">
        <f t="shared" si="44"/>
        <v>1530000</v>
      </c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s="47" customFormat="1" ht="21.75" customHeight="1">
      <c r="A150" s="213">
        <v>86</v>
      </c>
      <c r="B150" s="214" t="s">
        <v>46</v>
      </c>
      <c r="C150" s="354" t="s">
        <v>1543</v>
      </c>
      <c r="D150" s="284" t="s">
        <v>1541</v>
      </c>
      <c r="E150" s="150" t="s">
        <v>114</v>
      </c>
      <c r="F150" s="150"/>
      <c r="G150" s="161">
        <v>18</v>
      </c>
      <c r="H150" s="317">
        <f>6500/2</f>
        <v>3250</v>
      </c>
      <c r="I150" s="153">
        <v>2</v>
      </c>
      <c r="J150" s="304" t="s">
        <v>40</v>
      </c>
      <c r="K150" s="163">
        <v>1</v>
      </c>
      <c r="L150" s="163"/>
      <c r="M150" s="426">
        <f>G150*H150*5/100</f>
        <v>2925</v>
      </c>
      <c r="N150" s="426">
        <f>M150*0.15*7</f>
        <v>3071.25</v>
      </c>
      <c r="O150" s="426">
        <f t="shared" si="45"/>
        <v>163800</v>
      </c>
      <c r="P150" s="161">
        <v>1</v>
      </c>
      <c r="Q150" s="317">
        <v>1</v>
      </c>
      <c r="R150" s="317">
        <f t="shared" si="37"/>
        <v>1530000</v>
      </c>
      <c r="S150" s="317">
        <f t="shared" si="42"/>
        <v>1530000</v>
      </c>
      <c r="T150" s="161">
        <f t="shared" si="43"/>
        <v>0</v>
      </c>
      <c r="U150" s="153">
        <f t="shared" si="44"/>
        <v>1530000</v>
      </c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s="47" customFormat="1" ht="21.75" customHeight="1">
      <c r="A151" s="213">
        <v>87</v>
      </c>
      <c r="B151" s="214" t="s">
        <v>46</v>
      </c>
      <c r="C151" s="354" t="s">
        <v>1544</v>
      </c>
      <c r="D151" s="284" t="s">
        <v>1541</v>
      </c>
      <c r="E151" s="150" t="s">
        <v>114</v>
      </c>
      <c r="F151" s="150"/>
      <c r="G151" s="161">
        <v>18</v>
      </c>
      <c r="H151" s="317">
        <f>6500/2</f>
        <v>3250</v>
      </c>
      <c r="I151" s="153">
        <v>2</v>
      </c>
      <c r="J151" s="304" t="s">
        <v>40</v>
      </c>
      <c r="K151" s="163">
        <v>1</v>
      </c>
      <c r="L151" s="163"/>
      <c r="M151" s="426">
        <f>G151*H151*5/100</f>
        <v>2925</v>
      </c>
      <c r="N151" s="426">
        <f>M151*0.15*7</f>
        <v>3071.25</v>
      </c>
      <c r="O151" s="426">
        <f t="shared" si="45"/>
        <v>163800</v>
      </c>
      <c r="P151" s="161">
        <v>1</v>
      </c>
      <c r="Q151" s="317">
        <v>1</v>
      </c>
      <c r="R151" s="317">
        <f t="shared" si="37"/>
        <v>1530000</v>
      </c>
      <c r="S151" s="317">
        <f t="shared" si="42"/>
        <v>1530000</v>
      </c>
      <c r="T151" s="161">
        <f t="shared" si="43"/>
        <v>0</v>
      </c>
      <c r="U151" s="153">
        <f t="shared" si="44"/>
        <v>1530000</v>
      </c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s="47" customFormat="1" ht="21.75" customHeight="1">
      <c r="A152" s="213">
        <v>88</v>
      </c>
      <c r="B152" s="214" t="s">
        <v>1548</v>
      </c>
      <c r="C152" s="354" t="s">
        <v>1549</v>
      </c>
      <c r="D152" s="284" t="s">
        <v>1547</v>
      </c>
      <c r="E152" s="150" t="s">
        <v>338</v>
      </c>
      <c r="F152" s="150"/>
      <c r="G152" s="161">
        <v>18</v>
      </c>
      <c r="H152" s="317">
        <f>6000/2</f>
        <v>3000</v>
      </c>
      <c r="I152" s="153">
        <v>2</v>
      </c>
      <c r="J152" s="304" t="s">
        <v>25</v>
      </c>
      <c r="K152" s="163">
        <v>1</v>
      </c>
      <c r="L152" s="163"/>
      <c r="M152" s="426">
        <f>(13*H152*5/100)+(H152*5/5)</f>
        <v>4950</v>
      </c>
      <c r="N152" s="426">
        <f>(M152*0.15*7)</f>
        <v>5197.5</v>
      </c>
      <c r="O152" s="426">
        <f t="shared" si="45"/>
        <v>277200</v>
      </c>
      <c r="P152" s="161">
        <v>1</v>
      </c>
      <c r="Q152" s="317">
        <v>1</v>
      </c>
      <c r="R152" s="317">
        <f t="shared" si="37"/>
        <v>1530000</v>
      </c>
      <c r="S152" s="317">
        <f t="shared" si="42"/>
        <v>1530000</v>
      </c>
      <c r="T152" s="161">
        <f t="shared" si="43"/>
        <v>0</v>
      </c>
      <c r="U152" s="153">
        <f t="shared" si="44"/>
        <v>1530000</v>
      </c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s="47" customFormat="1" ht="21.75" customHeight="1">
      <c r="A153" s="213">
        <v>89</v>
      </c>
      <c r="B153" s="214" t="s">
        <v>1548</v>
      </c>
      <c r="C153" s="354" t="s">
        <v>1550</v>
      </c>
      <c r="D153" s="284" t="s">
        <v>1547</v>
      </c>
      <c r="E153" s="150" t="s">
        <v>338</v>
      </c>
      <c r="F153" s="150"/>
      <c r="G153" s="161">
        <v>18</v>
      </c>
      <c r="H153" s="317">
        <f>6000/2</f>
        <v>3000</v>
      </c>
      <c r="I153" s="153">
        <v>2</v>
      </c>
      <c r="J153" s="304" t="s">
        <v>25</v>
      </c>
      <c r="K153" s="163">
        <v>1</v>
      </c>
      <c r="L153" s="163"/>
      <c r="M153" s="426">
        <f>(13*H153*5/100)+(H153*5/5)</f>
        <v>4950</v>
      </c>
      <c r="N153" s="426">
        <f>(M153*0.15*7)</f>
        <v>5197.5</v>
      </c>
      <c r="O153" s="426">
        <f t="shared" si="45"/>
        <v>277200</v>
      </c>
      <c r="P153" s="161">
        <v>1</v>
      </c>
      <c r="Q153" s="317">
        <v>1</v>
      </c>
      <c r="R153" s="317">
        <f t="shared" si="37"/>
        <v>1530000</v>
      </c>
      <c r="S153" s="317">
        <f t="shared" si="42"/>
        <v>1530000</v>
      </c>
      <c r="T153" s="161">
        <f t="shared" si="43"/>
        <v>0</v>
      </c>
      <c r="U153" s="153">
        <f t="shared" si="44"/>
        <v>1530000</v>
      </c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s="47" customFormat="1" ht="21.75" customHeight="1">
      <c r="A154" s="213">
        <v>90</v>
      </c>
      <c r="B154" s="214" t="s">
        <v>46</v>
      </c>
      <c r="C154" s="354" t="s">
        <v>1564</v>
      </c>
      <c r="D154" s="284" t="s">
        <v>1565</v>
      </c>
      <c r="E154" s="150" t="s">
        <v>114</v>
      </c>
      <c r="F154" s="150"/>
      <c r="G154" s="161">
        <v>20</v>
      </c>
      <c r="H154" s="317">
        <v>1200</v>
      </c>
      <c r="I154" s="153">
        <v>2</v>
      </c>
      <c r="J154" s="304" t="s">
        <v>25</v>
      </c>
      <c r="K154" s="163">
        <v>1</v>
      </c>
      <c r="L154" s="163"/>
      <c r="M154" s="426">
        <f>G154*H154*5/100</f>
        <v>1200</v>
      </c>
      <c r="N154" s="426">
        <f>M154*0.15*7</f>
        <v>1260</v>
      </c>
      <c r="O154" s="426">
        <f>M154*7.7*7+N154*2</f>
        <v>67200</v>
      </c>
      <c r="P154" s="161">
        <v>1</v>
      </c>
      <c r="Q154" s="317">
        <v>1</v>
      </c>
      <c r="R154" s="317">
        <f t="shared" si="37"/>
        <v>1530000</v>
      </c>
      <c r="S154" s="317">
        <f>R154*Q154*P154*K154</f>
        <v>1530000</v>
      </c>
      <c r="T154" s="161">
        <f>L154*P154*Q154*R154</f>
        <v>0</v>
      </c>
      <c r="U154" s="153">
        <f>R154*Q154*P154</f>
        <v>1530000</v>
      </c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s="47" customFormat="1" ht="21.75" customHeight="1">
      <c r="A155" s="213">
        <v>91</v>
      </c>
      <c r="B155" s="214" t="s">
        <v>46</v>
      </c>
      <c r="C155" s="354" t="s">
        <v>1566</v>
      </c>
      <c r="D155" s="284" t="s">
        <v>1565</v>
      </c>
      <c r="E155" s="150" t="s">
        <v>114</v>
      </c>
      <c r="F155" s="150"/>
      <c r="G155" s="161">
        <v>20</v>
      </c>
      <c r="H155" s="317">
        <v>1200</v>
      </c>
      <c r="I155" s="153">
        <v>2</v>
      </c>
      <c r="J155" s="304" t="s">
        <v>25</v>
      </c>
      <c r="K155" s="163">
        <v>1</v>
      </c>
      <c r="L155" s="163"/>
      <c r="M155" s="426">
        <f>G155*H155*5/100</f>
        <v>1200</v>
      </c>
      <c r="N155" s="426">
        <f>M155*0.15*7</f>
        <v>1260</v>
      </c>
      <c r="O155" s="426">
        <f>M155*7.7*7+N155*2</f>
        <v>67200</v>
      </c>
      <c r="P155" s="161">
        <v>1</v>
      </c>
      <c r="Q155" s="317">
        <v>1</v>
      </c>
      <c r="R155" s="317">
        <f t="shared" si="37"/>
        <v>1530000</v>
      </c>
      <c r="S155" s="317">
        <f>R155*Q155*P155*K155</f>
        <v>1530000</v>
      </c>
      <c r="T155" s="161">
        <f>L155*P155*Q155*R155</f>
        <v>0</v>
      </c>
      <c r="U155" s="153">
        <f>R155*Q155*P155</f>
        <v>1530000</v>
      </c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s="47" customFormat="1" ht="21.75" customHeight="1">
      <c r="A156" s="213">
        <v>92</v>
      </c>
      <c r="B156" s="214" t="s">
        <v>46</v>
      </c>
      <c r="C156" s="354" t="s">
        <v>1567</v>
      </c>
      <c r="D156" s="284" t="s">
        <v>1565</v>
      </c>
      <c r="E156" s="150" t="s">
        <v>114</v>
      </c>
      <c r="F156" s="150"/>
      <c r="G156" s="161">
        <v>20</v>
      </c>
      <c r="H156" s="317">
        <v>1200</v>
      </c>
      <c r="I156" s="153">
        <v>2</v>
      </c>
      <c r="J156" s="304" t="s">
        <v>25</v>
      </c>
      <c r="K156" s="163">
        <v>1</v>
      </c>
      <c r="L156" s="163"/>
      <c r="M156" s="426">
        <f>G156*H156*5/100</f>
        <v>1200</v>
      </c>
      <c r="N156" s="426">
        <f>M156*0.15*7</f>
        <v>1260</v>
      </c>
      <c r="O156" s="426">
        <f>M156*7.7*7+N156*2</f>
        <v>67200</v>
      </c>
      <c r="P156" s="161">
        <v>1</v>
      </c>
      <c r="Q156" s="317">
        <v>1</v>
      </c>
      <c r="R156" s="317">
        <f t="shared" si="37"/>
        <v>1530000</v>
      </c>
      <c r="S156" s="317">
        <f>R156*Q156*P156*K156</f>
        <v>1530000</v>
      </c>
      <c r="T156" s="161">
        <f>L156*P156*Q156*R156</f>
        <v>0</v>
      </c>
      <c r="U156" s="153">
        <f>R156*Q156*P156</f>
        <v>1530000</v>
      </c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s="47" customFormat="1" ht="21.75" customHeight="1">
      <c r="A157" s="213">
        <v>93</v>
      </c>
      <c r="B157" s="214" t="s">
        <v>46</v>
      </c>
      <c r="C157" s="354" t="s">
        <v>1568</v>
      </c>
      <c r="D157" s="284" t="s">
        <v>1565</v>
      </c>
      <c r="E157" s="150" t="s">
        <v>114</v>
      </c>
      <c r="F157" s="150"/>
      <c r="G157" s="161">
        <v>20</v>
      </c>
      <c r="H157" s="317">
        <v>1200</v>
      </c>
      <c r="I157" s="153">
        <v>2</v>
      </c>
      <c r="J157" s="304" t="s">
        <v>25</v>
      </c>
      <c r="K157" s="163">
        <v>1</v>
      </c>
      <c r="L157" s="163"/>
      <c r="M157" s="426">
        <f>G157*H157*5/100</f>
        <v>1200</v>
      </c>
      <c r="N157" s="426">
        <f>M157*0.15*7</f>
        <v>1260</v>
      </c>
      <c r="O157" s="426">
        <f>M157*7.7*7+N157*2</f>
        <v>67200</v>
      </c>
      <c r="P157" s="161">
        <v>1</v>
      </c>
      <c r="Q157" s="317">
        <v>1</v>
      </c>
      <c r="R157" s="317">
        <f t="shared" si="37"/>
        <v>1530000</v>
      </c>
      <c r="S157" s="317">
        <f>R157*Q157*P157*K157</f>
        <v>1530000</v>
      </c>
      <c r="T157" s="161">
        <f>L157*P157*Q157*R157</f>
        <v>0</v>
      </c>
      <c r="U157" s="153">
        <f>R157*Q157*P157</f>
        <v>1530000</v>
      </c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s="47" customFormat="1" ht="21.75" customHeight="1">
      <c r="A158" s="213">
        <v>94</v>
      </c>
      <c r="B158" s="214" t="s">
        <v>17</v>
      </c>
      <c r="C158" s="354" t="s">
        <v>1569</v>
      </c>
      <c r="D158" s="284" t="s">
        <v>1570</v>
      </c>
      <c r="E158" s="150" t="s">
        <v>24</v>
      </c>
      <c r="F158" s="150"/>
      <c r="G158" s="161">
        <v>15</v>
      </c>
      <c r="H158" s="317">
        <v>450</v>
      </c>
      <c r="I158" s="153">
        <v>2</v>
      </c>
      <c r="J158" s="304" t="s">
        <v>25</v>
      </c>
      <c r="K158" s="163">
        <v>1</v>
      </c>
      <c r="L158" s="163"/>
      <c r="M158" s="425">
        <f>G158*H158/5</f>
        <v>1350</v>
      </c>
      <c r="N158" s="426">
        <f>M158*0.15*5.5</f>
        <v>1113.75</v>
      </c>
      <c r="O158" s="426">
        <f>M158*7.7*5.5+N158*2</f>
        <v>59400</v>
      </c>
      <c r="P158" s="161">
        <v>1</v>
      </c>
      <c r="Q158" s="317">
        <v>1</v>
      </c>
      <c r="R158" s="317">
        <f t="shared" si="37"/>
        <v>1530000</v>
      </c>
      <c r="S158" s="317">
        <f>R158*Q158*P158*K158</f>
        <v>1530000</v>
      </c>
      <c r="T158" s="161">
        <f>L158*P158*Q158*R158</f>
        <v>0</v>
      </c>
      <c r="U158" s="153">
        <f>R158*Q158*P158</f>
        <v>1530000</v>
      </c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21" s="42" customFormat="1" ht="22.5" customHeight="1">
      <c r="A159" s="433" t="s">
        <v>741</v>
      </c>
      <c r="B159" s="372"/>
      <c r="C159" s="430"/>
      <c r="D159" s="430"/>
      <c r="E159" s="372"/>
      <c r="F159" s="372"/>
      <c r="G159" s="431"/>
      <c r="H159" s="372"/>
      <c r="I159" s="372"/>
      <c r="J159" s="432"/>
      <c r="K159" s="372"/>
      <c r="L159" s="372"/>
      <c r="M159" s="372"/>
      <c r="N159" s="372"/>
      <c r="O159" s="372"/>
      <c r="P159" s="436">
        <f>SUM(P65:P158)</f>
        <v>93</v>
      </c>
      <c r="Q159" s="372"/>
      <c r="R159" s="372"/>
      <c r="S159" s="372"/>
      <c r="T159" s="372"/>
      <c r="U159" s="434"/>
    </row>
    <row r="160" spans="1:21" s="47" customFormat="1" ht="21.75" customHeight="1">
      <c r="A160" s="237">
        <v>1</v>
      </c>
      <c r="B160" s="214" t="s">
        <v>17</v>
      </c>
      <c r="C160" s="408" t="s">
        <v>186</v>
      </c>
      <c r="D160" s="149" t="s">
        <v>1083</v>
      </c>
      <c r="E160" s="150" t="s">
        <v>91</v>
      </c>
      <c r="F160" s="150"/>
      <c r="G160" s="161">
        <v>10</v>
      </c>
      <c r="H160" s="162">
        <v>350</v>
      </c>
      <c r="I160" s="153">
        <v>2</v>
      </c>
      <c r="J160" s="304" t="s">
        <v>62</v>
      </c>
      <c r="K160" s="163">
        <v>1</v>
      </c>
      <c r="L160" s="163">
        <v>0</v>
      </c>
      <c r="M160" s="425">
        <f>G160*H160/5</f>
        <v>700</v>
      </c>
      <c r="N160" s="426">
        <f>M160*0.15*5.5</f>
        <v>577.5</v>
      </c>
      <c r="O160" s="426">
        <f>M160*7.7*5.5+N160*2</f>
        <v>30800</v>
      </c>
      <c r="P160" s="161">
        <v>1</v>
      </c>
      <c r="Q160" s="162">
        <v>1</v>
      </c>
      <c r="R160" s="162">
        <f aca="true" t="shared" si="46" ref="R160:R191">45*$R$2</f>
        <v>1012500</v>
      </c>
      <c r="S160" s="162">
        <f aca="true" t="shared" si="47" ref="S160:S191">R160*Q160*P160*K160</f>
        <v>1012500</v>
      </c>
      <c r="T160" s="161">
        <f aca="true" t="shared" si="48" ref="T160:T191">L160*P160*Q160*R160</f>
        <v>0</v>
      </c>
      <c r="U160" s="153">
        <f aca="true" t="shared" si="49" ref="U160:U191">S160+T160</f>
        <v>1012500</v>
      </c>
    </row>
    <row r="161" spans="1:21" s="47" customFormat="1" ht="21.75" customHeight="1">
      <c r="A161" s="237">
        <v>2</v>
      </c>
      <c r="B161" s="214" t="s">
        <v>17</v>
      </c>
      <c r="C161" s="408" t="s">
        <v>187</v>
      </c>
      <c r="D161" s="280" t="s">
        <v>188</v>
      </c>
      <c r="E161" s="150" t="s">
        <v>20</v>
      </c>
      <c r="F161" s="150" t="s">
        <v>1122</v>
      </c>
      <c r="G161" s="161">
        <v>9</v>
      </c>
      <c r="H161" s="162">
        <v>300</v>
      </c>
      <c r="I161" s="153">
        <v>2</v>
      </c>
      <c r="J161" s="304" t="s">
        <v>62</v>
      </c>
      <c r="K161" s="163">
        <v>1</v>
      </c>
      <c r="L161" s="163">
        <v>0</v>
      </c>
      <c r="M161" s="425">
        <f>G161*H161/5</f>
        <v>540</v>
      </c>
      <c r="N161" s="426">
        <f>M161*0.15*5.5</f>
        <v>445.5</v>
      </c>
      <c r="O161" s="426">
        <f>M161*7.7*5.5+N161*2</f>
        <v>23760</v>
      </c>
      <c r="P161" s="161">
        <v>1</v>
      </c>
      <c r="Q161" s="162">
        <v>1</v>
      </c>
      <c r="R161" s="162">
        <f t="shared" si="46"/>
        <v>1012500</v>
      </c>
      <c r="S161" s="162">
        <f t="shared" si="47"/>
        <v>1012500</v>
      </c>
      <c r="T161" s="161">
        <f t="shared" si="48"/>
        <v>0</v>
      </c>
      <c r="U161" s="153">
        <f t="shared" si="49"/>
        <v>1012500</v>
      </c>
    </row>
    <row r="162" spans="1:21" s="47" customFormat="1" ht="21.75" customHeight="1">
      <c r="A162" s="237">
        <v>3</v>
      </c>
      <c r="B162" s="214" t="s">
        <v>17</v>
      </c>
      <c r="C162" s="408" t="s">
        <v>189</v>
      </c>
      <c r="D162" s="280" t="s">
        <v>190</v>
      </c>
      <c r="E162" s="150" t="s">
        <v>20</v>
      </c>
      <c r="F162" s="150" t="s">
        <v>1123</v>
      </c>
      <c r="G162" s="161">
        <v>9</v>
      </c>
      <c r="H162" s="162">
        <v>400</v>
      </c>
      <c r="I162" s="153">
        <v>1</v>
      </c>
      <c r="J162" s="304" t="s">
        <v>77</v>
      </c>
      <c r="K162" s="163">
        <v>1</v>
      </c>
      <c r="L162" s="163">
        <v>0</v>
      </c>
      <c r="M162" s="425">
        <f>G162*H162/5</f>
        <v>720</v>
      </c>
      <c r="N162" s="426">
        <f>M162*0.15*5.5</f>
        <v>594</v>
      </c>
      <c r="O162" s="426">
        <f>M162*7.7*5.5+N162*2</f>
        <v>31680</v>
      </c>
      <c r="P162" s="161">
        <v>1</v>
      </c>
      <c r="Q162" s="162">
        <v>1</v>
      </c>
      <c r="R162" s="162">
        <f t="shared" si="46"/>
        <v>1012500</v>
      </c>
      <c r="S162" s="162">
        <f t="shared" si="47"/>
        <v>1012500</v>
      </c>
      <c r="T162" s="161">
        <f t="shared" si="48"/>
        <v>0</v>
      </c>
      <c r="U162" s="153">
        <f t="shared" si="49"/>
        <v>1012500</v>
      </c>
    </row>
    <row r="163" spans="1:21" s="47" customFormat="1" ht="21.75" customHeight="1">
      <c r="A163" s="237">
        <v>4</v>
      </c>
      <c r="B163" s="214" t="s">
        <v>46</v>
      </c>
      <c r="C163" s="409" t="s">
        <v>191</v>
      </c>
      <c r="D163" s="281" t="s">
        <v>192</v>
      </c>
      <c r="E163" s="154" t="s">
        <v>193</v>
      </c>
      <c r="F163" s="154"/>
      <c r="G163" s="238">
        <v>18</v>
      </c>
      <c r="H163" s="161">
        <v>2291</v>
      </c>
      <c r="I163" s="238">
        <v>3</v>
      </c>
      <c r="J163" s="304" t="s">
        <v>62</v>
      </c>
      <c r="K163" s="163">
        <v>1</v>
      </c>
      <c r="L163" s="163">
        <v>0</v>
      </c>
      <c r="M163" s="425">
        <f>G163*H163*5/100</f>
        <v>2061.9</v>
      </c>
      <c r="N163" s="426">
        <f>M163*0.15*7</f>
        <v>2164.9950000000003</v>
      </c>
      <c r="O163" s="426">
        <f>M163*7.7*7+N163*2</f>
        <v>115466.40000000001</v>
      </c>
      <c r="P163" s="161">
        <v>1</v>
      </c>
      <c r="Q163" s="162">
        <v>1</v>
      </c>
      <c r="R163" s="162">
        <f t="shared" si="46"/>
        <v>1012500</v>
      </c>
      <c r="S163" s="162">
        <f t="shared" si="47"/>
        <v>1012500</v>
      </c>
      <c r="T163" s="161">
        <f t="shared" si="48"/>
        <v>0</v>
      </c>
      <c r="U163" s="153">
        <f t="shared" si="49"/>
        <v>1012500</v>
      </c>
    </row>
    <row r="164" spans="1:21" s="47" customFormat="1" ht="21.75" customHeight="1">
      <c r="A164" s="237">
        <v>5</v>
      </c>
      <c r="B164" s="214" t="s">
        <v>46</v>
      </c>
      <c r="C164" s="409" t="s">
        <v>194</v>
      </c>
      <c r="D164" s="281" t="s">
        <v>192</v>
      </c>
      <c r="E164" s="154" t="s">
        <v>193</v>
      </c>
      <c r="F164" s="154"/>
      <c r="G164" s="238">
        <v>18</v>
      </c>
      <c r="H164" s="161">
        <v>2291</v>
      </c>
      <c r="I164" s="238">
        <v>3</v>
      </c>
      <c r="J164" s="304" t="s">
        <v>77</v>
      </c>
      <c r="K164" s="163">
        <v>1</v>
      </c>
      <c r="L164" s="163">
        <v>0</v>
      </c>
      <c r="M164" s="425">
        <f>G164*H164*5/100</f>
        <v>2061.9</v>
      </c>
      <c r="N164" s="426">
        <f>M164*0.15*7</f>
        <v>2164.9950000000003</v>
      </c>
      <c r="O164" s="426">
        <f>M164*7.7*7+N164*2</f>
        <v>115466.40000000001</v>
      </c>
      <c r="P164" s="161">
        <v>1</v>
      </c>
      <c r="Q164" s="162">
        <v>1</v>
      </c>
      <c r="R164" s="162">
        <f t="shared" si="46"/>
        <v>1012500</v>
      </c>
      <c r="S164" s="162">
        <f t="shared" si="47"/>
        <v>1012500</v>
      </c>
      <c r="T164" s="161">
        <f t="shared" si="48"/>
        <v>0</v>
      </c>
      <c r="U164" s="153">
        <f t="shared" si="49"/>
        <v>1012500</v>
      </c>
    </row>
    <row r="165" spans="1:21" s="47" customFormat="1" ht="21.75" customHeight="1">
      <c r="A165" s="237">
        <v>6</v>
      </c>
      <c r="B165" s="214" t="s">
        <v>17</v>
      </c>
      <c r="C165" s="408" t="s">
        <v>195</v>
      </c>
      <c r="D165" s="280" t="s">
        <v>196</v>
      </c>
      <c r="E165" s="150" t="s">
        <v>332</v>
      </c>
      <c r="F165" s="154"/>
      <c r="G165" s="161">
        <v>8</v>
      </c>
      <c r="H165" s="162">
        <v>300</v>
      </c>
      <c r="I165" s="153">
        <v>1</v>
      </c>
      <c r="J165" s="304" t="s">
        <v>77</v>
      </c>
      <c r="K165" s="163">
        <v>1</v>
      </c>
      <c r="L165" s="163">
        <v>0</v>
      </c>
      <c r="M165" s="425">
        <f>G165*H165/5</f>
        <v>480</v>
      </c>
      <c r="N165" s="426">
        <f>M165*0.15*5.5</f>
        <v>396</v>
      </c>
      <c r="O165" s="426">
        <f>M165*7.7*5.5+N165*2</f>
        <v>21120</v>
      </c>
      <c r="P165" s="161">
        <v>1</v>
      </c>
      <c r="Q165" s="162">
        <v>1</v>
      </c>
      <c r="R165" s="162">
        <f t="shared" si="46"/>
        <v>1012500</v>
      </c>
      <c r="S165" s="162">
        <f t="shared" si="47"/>
        <v>1012500</v>
      </c>
      <c r="T165" s="161">
        <f t="shared" si="48"/>
        <v>0</v>
      </c>
      <c r="U165" s="153">
        <f t="shared" si="49"/>
        <v>1012500</v>
      </c>
    </row>
    <row r="166" spans="1:21" s="47" customFormat="1" ht="21.75" customHeight="1">
      <c r="A166" s="237">
        <v>7</v>
      </c>
      <c r="B166" s="214" t="s">
        <v>17</v>
      </c>
      <c r="C166" s="408" t="s">
        <v>197</v>
      </c>
      <c r="D166" s="280" t="s">
        <v>198</v>
      </c>
      <c r="E166" s="150" t="s">
        <v>24</v>
      </c>
      <c r="F166" s="154"/>
      <c r="G166" s="161">
        <v>7</v>
      </c>
      <c r="H166" s="162">
        <v>300</v>
      </c>
      <c r="I166" s="153">
        <v>1</v>
      </c>
      <c r="J166" s="304" t="s">
        <v>62</v>
      </c>
      <c r="K166" s="163">
        <v>1</v>
      </c>
      <c r="L166" s="163">
        <v>0</v>
      </c>
      <c r="M166" s="425">
        <f>G166*H166/5</f>
        <v>420</v>
      </c>
      <c r="N166" s="426">
        <f>M166*0.15*5.5</f>
        <v>346.5</v>
      </c>
      <c r="O166" s="426">
        <f>M166*7.7*5.5+N166*2</f>
        <v>18480</v>
      </c>
      <c r="P166" s="161">
        <v>1</v>
      </c>
      <c r="Q166" s="162">
        <v>1</v>
      </c>
      <c r="R166" s="162">
        <f t="shared" si="46"/>
        <v>1012500</v>
      </c>
      <c r="S166" s="162">
        <f t="shared" si="47"/>
        <v>1012500</v>
      </c>
      <c r="T166" s="161">
        <f t="shared" si="48"/>
        <v>0</v>
      </c>
      <c r="U166" s="153">
        <f t="shared" si="49"/>
        <v>1012500</v>
      </c>
    </row>
    <row r="167" spans="1:21" s="47" customFormat="1" ht="21.75" customHeight="1">
      <c r="A167" s="237">
        <v>8</v>
      </c>
      <c r="B167" s="214" t="s">
        <v>46</v>
      </c>
      <c r="C167" s="408" t="s">
        <v>199</v>
      </c>
      <c r="D167" s="280" t="s">
        <v>200</v>
      </c>
      <c r="E167" s="150" t="s">
        <v>338</v>
      </c>
      <c r="F167" s="154"/>
      <c r="G167" s="161">
        <v>15</v>
      </c>
      <c r="H167" s="162">
        <v>1000</v>
      </c>
      <c r="I167" s="153">
        <v>2</v>
      </c>
      <c r="J167" s="304" t="s">
        <v>25</v>
      </c>
      <c r="K167" s="163">
        <v>1</v>
      </c>
      <c r="L167" s="163">
        <v>0</v>
      </c>
      <c r="M167" s="425">
        <f aca="true" t="shared" si="50" ref="M167:M200">G167*H167*5/100</f>
        <v>750</v>
      </c>
      <c r="N167" s="426">
        <f>M167*0.15*7</f>
        <v>787.5</v>
      </c>
      <c r="O167" s="426">
        <f aca="true" t="shared" si="51" ref="O167:O200">M167*7.7*7+N167*2</f>
        <v>42000</v>
      </c>
      <c r="P167" s="161">
        <v>1</v>
      </c>
      <c r="Q167" s="162">
        <v>1</v>
      </c>
      <c r="R167" s="162">
        <f t="shared" si="46"/>
        <v>1012500</v>
      </c>
      <c r="S167" s="162">
        <f t="shared" si="47"/>
        <v>1012500</v>
      </c>
      <c r="T167" s="161">
        <f t="shared" si="48"/>
        <v>0</v>
      </c>
      <c r="U167" s="153">
        <f t="shared" si="49"/>
        <v>1012500</v>
      </c>
    </row>
    <row r="168" spans="1:21" s="47" customFormat="1" ht="21.75" customHeight="1">
      <c r="A168" s="237">
        <v>9</v>
      </c>
      <c r="B168" s="214" t="s">
        <v>46</v>
      </c>
      <c r="C168" s="408" t="s">
        <v>201</v>
      </c>
      <c r="D168" s="280" t="s">
        <v>202</v>
      </c>
      <c r="E168" s="150" t="s">
        <v>1209</v>
      </c>
      <c r="F168" s="154"/>
      <c r="G168" s="161">
        <v>21</v>
      </c>
      <c r="H168" s="162">
        <v>800</v>
      </c>
      <c r="I168" s="153">
        <v>1</v>
      </c>
      <c r="J168" s="304" t="s">
        <v>77</v>
      </c>
      <c r="K168" s="163">
        <v>1</v>
      </c>
      <c r="L168" s="163">
        <v>0</v>
      </c>
      <c r="M168" s="425">
        <f t="shared" si="50"/>
        <v>840</v>
      </c>
      <c r="N168" s="426">
        <f aca="true" t="shared" si="52" ref="N168:N200">M168*0.15*7</f>
        <v>882</v>
      </c>
      <c r="O168" s="426">
        <f t="shared" si="51"/>
        <v>47040</v>
      </c>
      <c r="P168" s="161">
        <v>1</v>
      </c>
      <c r="Q168" s="162">
        <v>1</v>
      </c>
      <c r="R168" s="162">
        <f t="shared" si="46"/>
        <v>1012500</v>
      </c>
      <c r="S168" s="162">
        <f t="shared" si="47"/>
        <v>1012500</v>
      </c>
      <c r="T168" s="161">
        <f t="shared" si="48"/>
        <v>0</v>
      </c>
      <c r="U168" s="153">
        <f t="shared" si="49"/>
        <v>1012500</v>
      </c>
    </row>
    <row r="169" spans="1:21" s="47" customFormat="1" ht="21.75" customHeight="1">
      <c r="A169" s="237">
        <v>10</v>
      </c>
      <c r="B169" s="214" t="s">
        <v>46</v>
      </c>
      <c r="C169" s="408" t="s">
        <v>203</v>
      </c>
      <c r="D169" s="280" t="s">
        <v>202</v>
      </c>
      <c r="E169" s="150" t="s">
        <v>1209</v>
      </c>
      <c r="F169" s="154"/>
      <c r="G169" s="161">
        <v>21</v>
      </c>
      <c r="H169" s="162">
        <v>800</v>
      </c>
      <c r="I169" s="153">
        <v>1</v>
      </c>
      <c r="J169" s="304" t="s">
        <v>77</v>
      </c>
      <c r="K169" s="163">
        <v>1</v>
      </c>
      <c r="L169" s="163">
        <v>0</v>
      </c>
      <c r="M169" s="425">
        <f t="shared" si="50"/>
        <v>840</v>
      </c>
      <c r="N169" s="426">
        <f t="shared" si="52"/>
        <v>882</v>
      </c>
      <c r="O169" s="426">
        <f t="shared" si="51"/>
        <v>47040</v>
      </c>
      <c r="P169" s="161">
        <v>1</v>
      </c>
      <c r="Q169" s="162">
        <v>1</v>
      </c>
      <c r="R169" s="162">
        <f t="shared" si="46"/>
        <v>1012500</v>
      </c>
      <c r="S169" s="162">
        <f t="shared" si="47"/>
        <v>1012500</v>
      </c>
      <c r="T169" s="161">
        <f t="shared" si="48"/>
        <v>0</v>
      </c>
      <c r="U169" s="153">
        <f t="shared" si="49"/>
        <v>1012500</v>
      </c>
    </row>
    <row r="170" spans="1:21" s="47" customFormat="1" ht="21.75" customHeight="1">
      <c r="A170" s="237">
        <v>11</v>
      </c>
      <c r="B170" s="214" t="s">
        <v>46</v>
      </c>
      <c r="C170" s="408" t="s">
        <v>204</v>
      </c>
      <c r="D170" s="280" t="s">
        <v>205</v>
      </c>
      <c r="E170" s="150" t="s">
        <v>114</v>
      </c>
      <c r="F170" s="154"/>
      <c r="G170" s="161">
        <v>22</v>
      </c>
      <c r="H170" s="162">
        <v>800</v>
      </c>
      <c r="I170" s="153">
        <v>2</v>
      </c>
      <c r="J170" s="304" t="s">
        <v>77</v>
      </c>
      <c r="K170" s="163">
        <v>1</v>
      </c>
      <c r="L170" s="163">
        <v>0</v>
      </c>
      <c r="M170" s="425">
        <f t="shared" si="50"/>
        <v>880</v>
      </c>
      <c r="N170" s="426">
        <f t="shared" si="52"/>
        <v>924</v>
      </c>
      <c r="O170" s="426">
        <f t="shared" si="51"/>
        <v>49280</v>
      </c>
      <c r="P170" s="161">
        <v>1</v>
      </c>
      <c r="Q170" s="162">
        <v>1</v>
      </c>
      <c r="R170" s="162">
        <f t="shared" si="46"/>
        <v>1012500</v>
      </c>
      <c r="S170" s="162">
        <f t="shared" si="47"/>
        <v>1012500</v>
      </c>
      <c r="T170" s="161">
        <f t="shared" si="48"/>
        <v>0</v>
      </c>
      <c r="U170" s="153">
        <f t="shared" si="49"/>
        <v>1012500</v>
      </c>
    </row>
    <row r="171" spans="1:21" s="47" customFormat="1" ht="21.75" customHeight="1">
      <c r="A171" s="237">
        <v>12</v>
      </c>
      <c r="B171" s="214" t="s">
        <v>46</v>
      </c>
      <c r="C171" s="408" t="s">
        <v>206</v>
      </c>
      <c r="D171" s="280" t="s">
        <v>205</v>
      </c>
      <c r="E171" s="150" t="s">
        <v>114</v>
      </c>
      <c r="F171" s="154"/>
      <c r="G171" s="161">
        <v>22</v>
      </c>
      <c r="H171" s="162">
        <v>800</v>
      </c>
      <c r="I171" s="153">
        <v>2</v>
      </c>
      <c r="J171" s="304" t="s">
        <v>77</v>
      </c>
      <c r="K171" s="163">
        <v>1</v>
      </c>
      <c r="L171" s="163">
        <v>0</v>
      </c>
      <c r="M171" s="425">
        <f t="shared" si="50"/>
        <v>880</v>
      </c>
      <c r="N171" s="426">
        <f t="shared" si="52"/>
        <v>924</v>
      </c>
      <c r="O171" s="426">
        <f t="shared" si="51"/>
        <v>49280</v>
      </c>
      <c r="P171" s="161">
        <v>1</v>
      </c>
      <c r="Q171" s="162">
        <v>1</v>
      </c>
      <c r="R171" s="162">
        <f t="shared" si="46"/>
        <v>1012500</v>
      </c>
      <c r="S171" s="162">
        <f t="shared" si="47"/>
        <v>1012500</v>
      </c>
      <c r="T171" s="161">
        <f t="shared" si="48"/>
        <v>0</v>
      </c>
      <c r="U171" s="153">
        <f t="shared" si="49"/>
        <v>1012500</v>
      </c>
    </row>
    <row r="172" spans="1:21" s="47" customFormat="1" ht="21.75" customHeight="1">
      <c r="A172" s="237">
        <v>13</v>
      </c>
      <c r="B172" s="214" t="s">
        <v>46</v>
      </c>
      <c r="C172" s="409" t="s">
        <v>207</v>
      </c>
      <c r="D172" s="281" t="s">
        <v>208</v>
      </c>
      <c r="E172" s="150" t="s">
        <v>114</v>
      </c>
      <c r="F172" s="154"/>
      <c r="G172" s="238">
        <v>18</v>
      </c>
      <c r="H172" s="161">
        <v>800</v>
      </c>
      <c r="I172" s="238">
        <v>2</v>
      </c>
      <c r="J172" s="304" t="s">
        <v>77</v>
      </c>
      <c r="K172" s="163">
        <v>1</v>
      </c>
      <c r="L172" s="163">
        <v>0</v>
      </c>
      <c r="M172" s="425">
        <f t="shared" si="50"/>
        <v>720</v>
      </c>
      <c r="N172" s="426">
        <f t="shared" si="52"/>
        <v>756</v>
      </c>
      <c r="O172" s="426">
        <f t="shared" si="51"/>
        <v>40320</v>
      </c>
      <c r="P172" s="161">
        <v>1</v>
      </c>
      <c r="Q172" s="162">
        <v>1</v>
      </c>
      <c r="R172" s="162">
        <f t="shared" si="46"/>
        <v>1012500</v>
      </c>
      <c r="S172" s="162">
        <f t="shared" si="47"/>
        <v>1012500</v>
      </c>
      <c r="T172" s="161">
        <f t="shared" si="48"/>
        <v>0</v>
      </c>
      <c r="U172" s="153">
        <f t="shared" si="49"/>
        <v>1012500</v>
      </c>
    </row>
    <row r="173" spans="1:21" s="47" customFormat="1" ht="21.75" customHeight="1">
      <c r="A173" s="237">
        <v>14</v>
      </c>
      <c r="B173" s="214" t="s">
        <v>46</v>
      </c>
      <c r="C173" s="409" t="s">
        <v>209</v>
      </c>
      <c r="D173" s="281" t="s">
        <v>208</v>
      </c>
      <c r="E173" s="150" t="s">
        <v>114</v>
      </c>
      <c r="F173" s="154"/>
      <c r="G173" s="238">
        <v>18</v>
      </c>
      <c r="H173" s="161">
        <v>800</v>
      </c>
      <c r="I173" s="238">
        <v>2</v>
      </c>
      <c r="J173" s="304" t="s">
        <v>77</v>
      </c>
      <c r="K173" s="163">
        <v>1</v>
      </c>
      <c r="L173" s="163">
        <v>0</v>
      </c>
      <c r="M173" s="425">
        <f t="shared" si="50"/>
        <v>720</v>
      </c>
      <c r="N173" s="426">
        <f t="shared" si="52"/>
        <v>756</v>
      </c>
      <c r="O173" s="426">
        <f t="shared" si="51"/>
        <v>40320</v>
      </c>
      <c r="P173" s="161">
        <v>1</v>
      </c>
      <c r="Q173" s="162">
        <v>1</v>
      </c>
      <c r="R173" s="162">
        <f t="shared" si="46"/>
        <v>1012500</v>
      </c>
      <c r="S173" s="162">
        <f t="shared" si="47"/>
        <v>1012500</v>
      </c>
      <c r="T173" s="161">
        <f t="shared" si="48"/>
        <v>0</v>
      </c>
      <c r="U173" s="153">
        <f t="shared" si="49"/>
        <v>1012500</v>
      </c>
    </row>
    <row r="174" spans="1:21" s="47" customFormat="1" ht="21.75" customHeight="1">
      <c r="A174" s="237">
        <v>15</v>
      </c>
      <c r="B174" s="214" t="s">
        <v>46</v>
      </c>
      <c r="C174" s="409" t="s">
        <v>210</v>
      </c>
      <c r="D174" s="281" t="s">
        <v>208</v>
      </c>
      <c r="E174" s="150" t="s">
        <v>114</v>
      </c>
      <c r="F174" s="154"/>
      <c r="G174" s="238">
        <v>18</v>
      </c>
      <c r="H174" s="161">
        <v>800</v>
      </c>
      <c r="I174" s="238">
        <v>2</v>
      </c>
      <c r="J174" s="304" t="s">
        <v>77</v>
      </c>
      <c r="K174" s="163">
        <v>1</v>
      </c>
      <c r="L174" s="163">
        <v>0</v>
      </c>
      <c r="M174" s="425">
        <f t="shared" si="50"/>
        <v>720</v>
      </c>
      <c r="N174" s="426">
        <f t="shared" si="52"/>
        <v>756</v>
      </c>
      <c r="O174" s="426">
        <f t="shared" si="51"/>
        <v>40320</v>
      </c>
      <c r="P174" s="161">
        <v>1</v>
      </c>
      <c r="Q174" s="162">
        <v>1</v>
      </c>
      <c r="R174" s="162">
        <f t="shared" si="46"/>
        <v>1012500</v>
      </c>
      <c r="S174" s="162">
        <f t="shared" si="47"/>
        <v>1012500</v>
      </c>
      <c r="T174" s="161">
        <f t="shared" si="48"/>
        <v>0</v>
      </c>
      <c r="U174" s="153">
        <f t="shared" si="49"/>
        <v>1012500</v>
      </c>
    </row>
    <row r="175" spans="1:21" s="47" customFormat="1" ht="21.75" customHeight="1">
      <c r="A175" s="237">
        <v>16</v>
      </c>
      <c r="B175" s="214" t="s">
        <v>46</v>
      </c>
      <c r="C175" s="409" t="s">
        <v>211</v>
      </c>
      <c r="D175" s="281" t="s">
        <v>208</v>
      </c>
      <c r="E175" s="150" t="s">
        <v>114</v>
      </c>
      <c r="F175" s="154"/>
      <c r="G175" s="238">
        <v>18</v>
      </c>
      <c r="H175" s="161">
        <v>800</v>
      </c>
      <c r="I175" s="238">
        <v>2</v>
      </c>
      <c r="J175" s="304" t="s">
        <v>77</v>
      </c>
      <c r="K175" s="163">
        <v>1</v>
      </c>
      <c r="L175" s="163">
        <v>0</v>
      </c>
      <c r="M175" s="425">
        <f t="shared" si="50"/>
        <v>720</v>
      </c>
      <c r="N175" s="426">
        <f t="shared" si="52"/>
        <v>756</v>
      </c>
      <c r="O175" s="426">
        <f t="shared" si="51"/>
        <v>40320</v>
      </c>
      <c r="P175" s="161">
        <v>1</v>
      </c>
      <c r="Q175" s="162">
        <v>1</v>
      </c>
      <c r="R175" s="162">
        <f t="shared" si="46"/>
        <v>1012500</v>
      </c>
      <c r="S175" s="162">
        <f t="shared" si="47"/>
        <v>1012500</v>
      </c>
      <c r="T175" s="161">
        <f t="shared" si="48"/>
        <v>0</v>
      </c>
      <c r="U175" s="153">
        <f t="shared" si="49"/>
        <v>1012500</v>
      </c>
    </row>
    <row r="176" spans="1:21" s="47" customFormat="1" ht="21.75" customHeight="1">
      <c r="A176" s="237">
        <v>17</v>
      </c>
      <c r="B176" s="214" t="s">
        <v>46</v>
      </c>
      <c r="C176" s="409" t="s">
        <v>212</v>
      </c>
      <c r="D176" s="281" t="s">
        <v>208</v>
      </c>
      <c r="E176" s="150" t="s">
        <v>114</v>
      </c>
      <c r="F176" s="154"/>
      <c r="G176" s="238">
        <v>18</v>
      </c>
      <c r="H176" s="161">
        <v>800</v>
      </c>
      <c r="I176" s="238">
        <v>2</v>
      </c>
      <c r="J176" s="304" t="s">
        <v>77</v>
      </c>
      <c r="K176" s="163">
        <v>1</v>
      </c>
      <c r="L176" s="163">
        <v>0</v>
      </c>
      <c r="M176" s="425">
        <f t="shared" si="50"/>
        <v>720</v>
      </c>
      <c r="N176" s="426">
        <f t="shared" si="52"/>
        <v>756</v>
      </c>
      <c r="O176" s="426">
        <f t="shared" si="51"/>
        <v>40320</v>
      </c>
      <c r="P176" s="161">
        <v>1</v>
      </c>
      <c r="Q176" s="162">
        <v>1</v>
      </c>
      <c r="R176" s="162">
        <f t="shared" si="46"/>
        <v>1012500</v>
      </c>
      <c r="S176" s="162">
        <f t="shared" si="47"/>
        <v>1012500</v>
      </c>
      <c r="T176" s="161">
        <f t="shared" si="48"/>
        <v>0</v>
      </c>
      <c r="U176" s="153">
        <f t="shared" si="49"/>
        <v>1012500</v>
      </c>
    </row>
    <row r="177" spans="1:21" s="47" customFormat="1" ht="21.75" customHeight="1">
      <c r="A177" s="237">
        <v>18</v>
      </c>
      <c r="B177" s="214" t="s">
        <v>46</v>
      </c>
      <c r="C177" s="409" t="s">
        <v>213</v>
      </c>
      <c r="D177" s="281" t="s">
        <v>208</v>
      </c>
      <c r="E177" s="150" t="s">
        <v>114</v>
      </c>
      <c r="F177" s="154"/>
      <c r="G177" s="238">
        <v>18</v>
      </c>
      <c r="H177" s="161">
        <v>800</v>
      </c>
      <c r="I177" s="238">
        <v>2</v>
      </c>
      <c r="J177" s="304" t="s">
        <v>77</v>
      </c>
      <c r="K177" s="163">
        <v>1</v>
      </c>
      <c r="L177" s="163">
        <v>0</v>
      </c>
      <c r="M177" s="425">
        <f t="shared" si="50"/>
        <v>720</v>
      </c>
      <c r="N177" s="426">
        <f t="shared" si="52"/>
        <v>756</v>
      </c>
      <c r="O177" s="426">
        <f t="shared" si="51"/>
        <v>40320</v>
      </c>
      <c r="P177" s="161">
        <v>1</v>
      </c>
      <c r="Q177" s="162">
        <v>1</v>
      </c>
      <c r="R177" s="162">
        <f t="shared" si="46"/>
        <v>1012500</v>
      </c>
      <c r="S177" s="162">
        <f t="shared" si="47"/>
        <v>1012500</v>
      </c>
      <c r="T177" s="161">
        <f t="shared" si="48"/>
        <v>0</v>
      </c>
      <c r="U177" s="153">
        <f t="shared" si="49"/>
        <v>1012500</v>
      </c>
    </row>
    <row r="178" spans="1:21" s="47" customFormat="1" ht="21.75" customHeight="1">
      <c r="A178" s="237">
        <v>19</v>
      </c>
      <c r="B178" s="214" t="s">
        <v>46</v>
      </c>
      <c r="C178" s="409" t="s">
        <v>214</v>
      </c>
      <c r="D178" s="281" t="s">
        <v>208</v>
      </c>
      <c r="E178" s="150" t="s">
        <v>114</v>
      </c>
      <c r="F178" s="154"/>
      <c r="G178" s="238">
        <v>18</v>
      </c>
      <c r="H178" s="161">
        <v>800</v>
      </c>
      <c r="I178" s="238">
        <v>2</v>
      </c>
      <c r="J178" s="304" t="s">
        <v>77</v>
      </c>
      <c r="K178" s="163">
        <v>1</v>
      </c>
      <c r="L178" s="163">
        <v>0</v>
      </c>
      <c r="M178" s="425">
        <f t="shared" si="50"/>
        <v>720</v>
      </c>
      <c r="N178" s="426">
        <f t="shared" si="52"/>
        <v>756</v>
      </c>
      <c r="O178" s="426">
        <f t="shared" si="51"/>
        <v>40320</v>
      </c>
      <c r="P178" s="161">
        <v>1</v>
      </c>
      <c r="Q178" s="162">
        <v>1</v>
      </c>
      <c r="R178" s="162">
        <f t="shared" si="46"/>
        <v>1012500</v>
      </c>
      <c r="S178" s="162">
        <f t="shared" si="47"/>
        <v>1012500</v>
      </c>
      <c r="T178" s="161">
        <f t="shared" si="48"/>
        <v>0</v>
      </c>
      <c r="U178" s="153">
        <f t="shared" si="49"/>
        <v>1012500</v>
      </c>
    </row>
    <row r="179" spans="1:21" s="47" customFormat="1" ht="21.75" customHeight="1">
      <c r="A179" s="237">
        <v>20</v>
      </c>
      <c r="B179" s="214" t="s">
        <v>46</v>
      </c>
      <c r="C179" s="409" t="s">
        <v>215</v>
      </c>
      <c r="D179" s="281" t="s">
        <v>208</v>
      </c>
      <c r="E179" s="150" t="s">
        <v>114</v>
      </c>
      <c r="F179" s="154"/>
      <c r="G179" s="238">
        <v>18</v>
      </c>
      <c r="H179" s="161">
        <v>800</v>
      </c>
      <c r="I179" s="238">
        <v>2</v>
      </c>
      <c r="J179" s="304" t="s">
        <v>77</v>
      </c>
      <c r="K179" s="163">
        <v>1</v>
      </c>
      <c r="L179" s="163">
        <v>0</v>
      </c>
      <c r="M179" s="425">
        <f t="shared" si="50"/>
        <v>720</v>
      </c>
      <c r="N179" s="426">
        <f t="shared" si="52"/>
        <v>756</v>
      </c>
      <c r="O179" s="426">
        <f t="shared" si="51"/>
        <v>40320</v>
      </c>
      <c r="P179" s="161">
        <v>1</v>
      </c>
      <c r="Q179" s="162">
        <v>1</v>
      </c>
      <c r="R179" s="162">
        <f t="shared" si="46"/>
        <v>1012500</v>
      </c>
      <c r="S179" s="162">
        <f t="shared" si="47"/>
        <v>1012500</v>
      </c>
      <c r="T179" s="161">
        <f t="shared" si="48"/>
        <v>0</v>
      </c>
      <c r="U179" s="153">
        <f t="shared" si="49"/>
        <v>1012500</v>
      </c>
    </row>
    <row r="180" spans="1:21" s="47" customFormat="1" ht="21.75" customHeight="1">
      <c r="A180" s="237">
        <v>21</v>
      </c>
      <c r="B180" s="214" t="s">
        <v>46</v>
      </c>
      <c r="C180" s="408" t="s">
        <v>1335</v>
      </c>
      <c r="D180" s="280" t="s">
        <v>216</v>
      </c>
      <c r="E180" s="150" t="s">
        <v>338</v>
      </c>
      <c r="F180" s="154"/>
      <c r="G180" s="161">
        <v>16</v>
      </c>
      <c r="H180" s="162">
        <v>1000</v>
      </c>
      <c r="I180" s="153">
        <v>4</v>
      </c>
      <c r="J180" s="304" t="s">
        <v>25</v>
      </c>
      <c r="K180" s="163">
        <v>1</v>
      </c>
      <c r="L180" s="163">
        <v>0</v>
      </c>
      <c r="M180" s="425">
        <f t="shared" si="50"/>
        <v>800</v>
      </c>
      <c r="N180" s="426">
        <f t="shared" si="52"/>
        <v>840</v>
      </c>
      <c r="O180" s="426">
        <f t="shared" si="51"/>
        <v>44800</v>
      </c>
      <c r="P180" s="161">
        <v>1</v>
      </c>
      <c r="Q180" s="162">
        <v>1</v>
      </c>
      <c r="R180" s="162">
        <f t="shared" si="46"/>
        <v>1012500</v>
      </c>
      <c r="S180" s="162">
        <f t="shared" si="47"/>
        <v>1012500</v>
      </c>
      <c r="T180" s="161">
        <f t="shared" si="48"/>
        <v>0</v>
      </c>
      <c r="U180" s="153">
        <f t="shared" si="49"/>
        <v>1012500</v>
      </c>
    </row>
    <row r="181" spans="1:21" s="47" customFormat="1" ht="21.75" customHeight="1">
      <c r="A181" s="237">
        <v>22</v>
      </c>
      <c r="B181" s="214" t="s">
        <v>46</v>
      </c>
      <c r="C181" s="409" t="s">
        <v>217</v>
      </c>
      <c r="D181" s="281" t="s">
        <v>218</v>
      </c>
      <c r="E181" s="150" t="s">
        <v>1208</v>
      </c>
      <c r="F181" s="154"/>
      <c r="G181" s="161">
        <v>12</v>
      </c>
      <c r="H181" s="162">
        <v>1000</v>
      </c>
      <c r="I181" s="153">
        <v>4</v>
      </c>
      <c r="J181" s="304" t="s">
        <v>62</v>
      </c>
      <c r="K181" s="163">
        <v>1</v>
      </c>
      <c r="L181" s="163">
        <v>0</v>
      </c>
      <c r="M181" s="425">
        <f t="shared" si="50"/>
        <v>600</v>
      </c>
      <c r="N181" s="426">
        <f t="shared" si="52"/>
        <v>630</v>
      </c>
      <c r="O181" s="426">
        <f t="shared" si="51"/>
        <v>33600</v>
      </c>
      <c r="P181" s="161">
        <v>1</v>
      </c>
      <c r="Q181" s="162">
        <v>1</v>
      </c>
      <c r="R181" s="162">
        <f t="shared" si="46"/>
        <v>1012500</v>
      </c>
      <c r="S181" s="162">
        <f t="shared" si="47"/>
        <v>1012500</v>
      </c>
      <c r="T181" s="161">
        <f t="shared" si="48"/>
        <v>0</v>
      </c>
      <c r="U181" s="153">
        <f t="shared" si="49"/>
        <v>1012500</v>
      </c>
    </row>
    <row r="182" spans="1:21" s="47" customFormat="1" ht="21.75" customHeight="1">
      <c r="A182" s="237">
        <v>23</v>
      </c>
      <c r="B182" s="214" t="s">
        <v>46</v>
      </c>
      <c r="C182" s="409" t="s">
        <v>219</v>
      </c>
      <c r="D182" s="281" t="s">
        <v>220</v>
      </c>
      <c r="E182" s="150" t="s">
        <v>1208</v>
      </c>
      <c r="F182" s="154"/>
      <c r="G182" s="161">
        <v>12</v>
      </c>
      <c r="H182" s="162">
        <v>1000</v>
      </c>
      <c r="I182" s="153">
        <v>4</v>
      </c>
      <c r="J182" s="304" t="s">
        <v>62</v>
      </c>
      <c r="K182" s="163">
        <v>1</v>
      </c>
      <c r="L182" s="163">
        <v>0</v>
      </c>
      <c r="M182" s="425">
        <f t="shared" si="50"/>
        <v>600</v>
      </c>
      <c r="N182" s="426">
        <f t="shared" si="52"/>
        <v>630</v>
      </c>
      <c r="O182" s="426">
        <f t="shared" si="51"/>
        <v>33600</v>
      </c>
      <c r="P182" s="161">
        <v>1</v>
      </c>
      <c r="Q182" s="162">
        <v>1</v>
      </c>
      <c r="R182" s="162">
        <f t="shared" si="46"/>
        <v>1012500</v>
      </c>
      <c r="S182" s="162">
        <f t="shared" si="47"/>
        <v>1012500</v>
      </c>
      <c r="T182" s="161">
        <f t="shared" si="48"/>
        <v>0</v>
      </c>
      <c r="U182" s="153">
        <f t="shared" si="49"/>
        <v>1012500</v>
      </c>
    </row>
    <row r="183" spans="1:21" s="47" customFormat="1" ht="21.75" customHeight="1">
      <c r="A183" s="237">
        <v>24</v>
      </c>
      <c r="B183" s="214" t="s">
        <v>46</v>
      </c>
      <c r="C183" s="409" t="s">
        <v>769</v>
      </c>
      <c r="D183" s="281" t="s">
        <v>774</v>
      </c>
      <c r="E183" s="150" t="s">
        <v>1208</v>
      </c>
      <c r="F183" s="154"/>
      <c r="G183" s="161">
        <v>14</v>
      </c>
      <c r="H183" s="162">
        <v>1800</v>
      </c>
      <c r="I183" s="153">
        <v>2</v>
      </c>
      <c r="J183" s="304" t="s">
        <v>62</v>
      </c>
      <c r="K183" s="163">
        <v>1</v>
      </c>
      <c r="L183" s="163">
        <v>0</v>
      </c>
      <c r="M183" s="425">
        <f t="shared" si="50"/>
        <v>1260</v>
      </c>
      <c r="N183" s="426">
        <f t="shared" si="52"/>
        <v>1323</v>
      </c>
      <c r="O183" s="426">
        <f t="shared" si="51"/>
        <v>70560</v>
      </c>
      <c r="P183" s="161">
        <v>1</v>
      </c>
      <c r="Q183" s="162">
        <v>1</v>
      </c>
      <c r="R183" s="162">
        <f t="shared" si="46"/>
        <v>1012500</v>
      </c>
      <c r="S183" s="162">
        <f t="shared" si="47"/>
        <v>1012500</v>
      </c>
      <c r="T183" s="161">
        <f t="shared" si="48"/>
        <v>0</v>
      </c>
      <c r="U183" s="153">
        <f t="shared" si="49"/>
        <v>1012500</v>
      </c>
    </row>
    <row r="184" spans="1:21" s="47" customFormat="1" ht="21.75" customHeight="1">
      <c r="A184" s="237">
        <v>25</v>
      </c>
      <c r="B184" s="214" t="s">
        <v>46</v>
      </c>
      <c r="C184" s="409" t="s">
        <v>770</v>
      </c>
      <c r="D184" s="281" t="s">
        <v>774</v>
      </c>
      <c r="E184" s="150" t="s">
        <v>1208</v>
      </c>
      <c r="F184" s="154"/>
      <c r="G184" s="161">
        <v>14</v>
      </c>
      <c r="H184" s="162">
        <v>1800</v>
      </c>
      <c r="I184" s="153">
        <v>2</v>
      </c>
      <c r="J184" s="304" t="s">
        <v>62</v>
      </c>
      <c r="K184" s="163">
        <v>1</v>
      </c>
      <c r="L184" s="163">
        <v>0</v>
      </c>
      <c r="M184" s="425">
        <f t="shared" si="50"/>
        <v>1260</v>
      </c>
      <c r="N184" s="426">
        <f t="shared" si="52"/>
        <v>1323</v>
      </c>
      <c r="O184" s="426">
        <f t="shared" si="51"/>
        <v>70560</v>
      </c>
      <c r="P184" s="161">
        <v>1</v>
      </c>
      <c r="Q184" s="162">
        <v>1</v>
      </c>
      <c r="R184" s="162">
        <f t="shared" si="46"/>
        <v>1012500</v>
      </c>
      <c r="S184" s="162">
        <f t="shared" si="47"/>
        <v>1012500</v>
      </c>
      <c r="T184" s="161">
        <f t="shared" si="48"/>
        <v>0</v>
      </c>
      <c r="U184" s="153">
        <f t="shared" si="49"/>
        <v>1012500</v>
      </c>
    </row>
    <row r="185" spans="1:21" s="47" customFormat="1" ht="21.75" customHeight="1">
      <c r="A185" s="237">
        <v>26</v>
      </c>
      <c r="B185" s="214" t="s">
        <v>46</v>
      </c>
      <c r="C185" s="409" t="s">
        <v>771</v>
      </c>
      <c r="D185" s="281" t="s">
        <v>774</v>
      </c>
      <c r="E185" s="150" t="s">
        <v>1208</v>
      </c>
      <c r="F185" s="154"/>
      <c r="G185" s="161">
        <v>14</v>
      </c>
      <c r="H185" s="162">
        <v>1800</v>
      </c>
      <c r="I185" s="153">
        <v>2</v>
      </c>
      <c r="J185" s="304" t="s">
        <v>62</v>
      </c>
      <c r="K185" s="163">
        <v>1</v>
      </c>
      <c r="L185" s="163">
        <v>0</v>
      </c>
      <c r="M185" s="425">
        <f t="shared" si="50"/>
        <v>1260</v>
      </c>
      <c r="N185" s="426">
        <f t="shared" si="52"/>
        <v>1323</v>
      </c>
      <c r="O185" s="426">
        <f t="shared" si="51"/>
        <v>70560</v>
      </c>
      <c r="P185" s="161">
        <v>1</v>
      </c>
      <c r="Q185" s="162">
        <v>1</v>
      </c>
      <c r="R185" s="162">
        <f t="shared" si="46"/>
        <v>1012500</v>
      </c>
      <c r="S185" s="162">
        <f t="shared" si="47"/>
        <v>1012500</v>
      </c>
      <c r="T185" s="161">
        <f t="shared" si="48"/>
        <v>0</v>
      </c>
      <c r="U185" s="153">
        <f t="shared" si="49"/>
        <v>1012500</v>
      </c>
    </row>
    <row r="186" spans="1:21" s="47" customFormat="1" ht="21.75" customHeight="1">
      <c r="A186" s="237">
        <v>27</v>
      </c>
      <c r="B186" s="214" t="s">
        <v>46</v>
      </c>
      <c r="C186" s="409" t="s">
        <v>772</v>
      </c>
      <c r="D186" s="281" t="s">
        <v>774</v>
      </c>
      <c r="E186" s="150" t="s">
        <v>1208</v>
      </c>
      <c r="F186" s="154"/>
      <c r="G186" s="161">
        <v>14</v>
      </c>
      <c r="H186" s="162">
        <v>1800</v>
      </c>
      <c r="I186" s="153">
        <v>2</v>
      </c>
      <c r="J186" s="304" t="s">
        <v>62</v>
      </c>
      <c r="K186" s="163">
        <v>1</v>
      </c>
      <c r="L186" s="163">
        <v>0</v>
      </c>
      <c r="M186" s="425">
        <f t="shared" si="50"/>
        <v>1260</v>
      </c>
      <c r="N186" s="426">
        <f>M186*0.15*7</f>
        <v>1323</v>
      </c>
      <c r="O186" s="426">
        <f>M186*7.7*7+N186*2</f>
        <v>70560</v>
      </c>
      <c r="P186" s="161">
        <v>1</v>
      </c>
      <c r="Q186" s="162">
        <v>1</v>
      </c>
      <c r="R186" s="162">
        <f t="shared" si="46"/>
        <v>1012500</v>
      </c>
      <c r="S186" s="162">
        <f t="shared" si="47"/>
        <v>1012500</v>
      </c>
      <c r="T186" s="161">
        <f t="shared" si="48"/>
        <v>0</v>
      </c>
      <c r="U186" s="153">
        <f t="shared" si="49"/>
        <v>1012500</v>
      </c>
    </row>
    <row r="187" spans="1:21" s="47" customFormat="1" ht="21.75" customHeight="1">
      <c r="A187" s="237">
        <v>28</v>
      </c>
      <c r="B187" s="214" t="s">
        <v>46</v>
      </c>
      <c r="C187" s="409" t="s">
        <v>773</v>
      </c>
      <c r="D187" s="281" t="s">
        <v>774</v>
      </c>
      <c r="E187" s="150" t="s">
        <v>1208</v>
      </c>
      <c r="F187" s="154"/>
      <c r="G187" s="161">
        <v>14</v>
      </c>
      <c r="H187" s="162">
        <v>1800</v>
      </c>
      <c r="I187" s="153">
        <v>2</v>
      </c>
      <c r="J187" s="304" t="s">
        <v>62</v>
      </c>
      <c r="K187" s="163">
        <v>1</v>
      </c>
      <c r="L187" s="163">
        <v>0</v>
      </c>
      <c r="M187" s="425">
        <f t="shared" si="50"/>
        <v>1260</v>
      </c>
      <c r="N187" s="426">
        <f>M187*0.15*7</f>
        <v>1323</v>
      </c>
      <c r="O187" s="426">
        <f>M187*7.7*7+N187*2</f>
        <v>70560</v>
      </c>
      <c r="P187" s="161">
        <v>1</v>
      </c>
      <c r="Q187" s="162">
        <v>1</v>
      </c>
      <c r="R187" s="162">
        <f t="shared" si="46"/>
        <v>1012500</v>
      </c>
      <c r="S187" s="162">
        <f t="shared" si="47"/>
        <v>1012500</v>
      </c>
      <c r="T187" s="161">
        <f t="shared" si="48"/>
        <v>0</v>
      </c>
      <c r="U187" s="153">
        <f t="shared" si="49"/>
        <v>1012500</v>
      </c>
    </row>
    <row r="188" spans="1:21" s="47" customFormat="1" ht="21.75" customHeight="1">
      <c r="A188" s="237">
        <v>29</v>
      </c>
      <c r="B188" s="214" t="s">
        <v>46</v>
      </c>
      <c r="C188" s="408" t="s">
        <v>367</v>
      </c>
      <c r="D188" s="280" t="s">
        <v>368</v>
      </c>
      <c r="E188" s="150" t="s">
        <v>114</v>
      </c>
      <c r="F188" s="154"/>
      <c r="G188" s="161">
        <v>17</v>
      </c>
      <c r="H188" s="162">
        <v>1200</v>
      </c>
      <c r="I188" s="153">
        <v>2</v>
      </c>
      <c r="J188" s="304" t="s">
        <v>62</v>
      </c>
      <c r="K188" s="163">
        <v>1</v>
      </c>
      <c r="L188" s="163">
        <v>0</v>
      </c>
      <c r="M188" s="425">
        <f t="shared" si="50"/>
        <v>1020</v>
      </c>
      <c r="N188" s="426">
        <f>M188*0.15*7</f>
        <v>1071</v>
      </c>
      <c r="O188" s="426">
        <f>M188*7.7*7+N188*2</f>
        <v>57120</v>
      </c>
      <c r="P188" s="161">
        <v>1</v>
      </c>
      <c r="Q188" s="162">
        <v>1</v>
      </c>
      <c r="R188" s="162">
        <f t="shared" si="46"/>
        <v>1012500</v>
      </c>
      <c r="S188" s="162">
        <f t="shared" si="47"/>
        <v>1012500</v>
      </c>
      <c r="T188" s="161">
        <f t="shared" si="48"/>
        <v>0</v>
      </c>
      <c r="U188" s="153">
        <f t="shared" si="49"/>
        <v>1012500</v>
      </c>
    </row>
    <row r="189" spans="1:21" s="47" customFormat="1" ht="21.75" customHeight="1">
      <c r="A189" s="237">
        <v>30</v>
      </c>
      <c r="B189" s="214" t="s">
        <v>46</v>
      </c>
      <c r="C189" s="408" t="s">
        <v>221</v>
      </c>
      <c r="D189" s="280" t="s">
        <v>222</v>
      </c>
      <c r="E189" s="150" t="s">
        <v>126</v>
      </c>
      <c r="F189" s="154"/>
      <c r="G189" s="161">
        <v>10</v>
      </c>
      <c r="H189" s="162">
        <v>400</v>
      </c>
      <c r="I189" s="153">
        <v>1</v>
      </c>
      <c r="J189" s="304" t="s">
        <v>62</v>
      </c>
      <c r="K189" s="163">
        <v>1</v>
      </c>
      <c r="L189" s="163">
        <v>0</v>
      </c>
      <c r="M189" s="425">
        <f t="shared" si="50"/>
        <v>200</v>
      </c>
      <c r="N189" s="426">
        <f>M189*0.15*7</f>
        <v>210</v>
      </c>
      <c r="O189" s="426">
        <f>M189*7.7*7+N189*2</f>
        <v>11200</v>
      </c>
      <c r="P189" s="161">
        <v>1</v>
      </c>
      <c r="Q189" s="162">
        <v>1</v>
      </c>
      <c r="R189" s="162">
        <f t="shared" si="46"/>
        <v>1012500</v>
      </c>
      <c r="S189" s="162">
        <f t="shared" si="47"/>
        <v>1012500</v>
      </c>
      <c r="T189" s="161">
        <f t="shared" si="48"/>
        <v>0</v>
      </c>
      <c r="U189" s="153">
        <f t="shared" si="49"/>
        <v>1012500</v>
      </c>
    </row>
    <row r="190" spans="1:21" s="47" customFormat="1" ht="21.75" customHeight="1">
      <c r="A190" s="237">
        <v>31</v>
      </c>
      <c r="B190" s="214" t="s">
        <v>46</v>
      </c>
      <c r="C190" s="408" t="s">
        <v>223</v>
      </c>
      <c r="D190" s="280" t="s">
        <v>222</v>
      </c>
      <c r="E190" s="150" t="s">
        <v>126</v>
      </c>
      <c r="F190" s="154"/>
      <c r="G190" s="161">
        <v>16</v>
      </c>
      <c r="H190" s="162">
        <v>400</v>
      </c>
      <c r="I190" s="153">
        <v>2</v>
      </c>
      <c r="J190" s="304" t="s">
        <v>62</v>
      </c>
      <c r="K190" s="163">
        <v>1</v>
      </c>
      <c r="L190" s="163">
        <v>0</v>
      </c>
      <c r="M190" s="425">
        <f t="shared" si="50"/>
        <v>320</v>
      </c>
      <c r="N190" s="426">
        <f t="shared" si="52"/>
        <v>336</v>
      </c>
      <c r="O190" s="426">
        <f t="shared" si="51"/>
        <v>17920</v>
      </c>
      <c r="P190" s="161">
        <v>1</v>
      </c>
      <c r="Q190" s="162">
        <v>1</v>
      </c>
      <c r="R190" s="162">
        <f t="shared" si="46"/>
        <v>1012500</v>
      </c>
      <c r="S190" s="162">
        <f t="shared" si="47"/>
        <v>1012500</v>
      </c>
      <c r="T190" s="161">
        <f t="shared" si="48"/>
        <v>0</v>
      </c>
      <c r="U190" s="153">
        <f t="shared" si="49"/>
        <v>1012500</v>
      </c>
    </row>
    <row r="191" spans="1:21" s="47" customFormat="1" ht="21.75" customHeight="1">
      <c r="A191" s="237">
        <v>32</v>
      </c>
      <c r="B191" s="214" t="s">
        <v>46</v>
      </c>
      <c r="C191" s="408" t="s">
        <v>224</v>
      </c>
      <c r="D191" s="280" t="s">
        <v>222</v>
      </c>
      <c r="E191" s="150" t="s">
        <v>126</v>
      </c>
      <c r="F191" s="154"/>
      <c r="G191" s="161">
        <v>22</v>
      </c>
      <c r="H191" s="162">
        <v>400</v>
      </c>
      <c r="I191" s="153">
        <v>2</v>
      </c>
      <c r="J191" s="304" t="s">
        <v>62</v>
      </c>
      <c r="K191" s="163">
        <v>1</v>
      </c>
      <c r="L191" s="163">
        <v>0</v>
      </c>
      <c r="M191" s="425">
        <f t="shared" si="50"/>
        <v>440</v>
      </c>
      <c r="N191" s="426">
        <f t="shared" si="52"/>
        <v>462</v>
      </c>
      <c r="O191" s="426">
        <f t="shared" si="51"/>
        <v>24640</v>
      </c>
      <c r="P191" s="161">
        <v>1</v>
      </c>
      <c r="Q191" s="162">
        <v>1</v>
      </c>
      <c r="R191" s="162">
        <f t="shared" si="46"/>
        <v>1012500</v>
      </c>
      <c r="S191" s="162">
        <f t="shared" si="47"/>
        <v>1012500</v>
      </c>
      <c r="T191" s="161">
        <f t="shared" si="48"/>
        <v>0</v>
      </c>
      <c r="U191" s="153">
        <f t="shared" si="49"/>
        <v>1012500</v>
      </c>
    </row>
    <row r="192" spans="1:21" s="47" customFormat="1" ht="21.75" customHeight="1">
      <c r="A192" s="237">
        <v>33</v>
      </c>
      <c r="B192" s="214" t="s">
        <v>46</v>
      </c>
      <c r="C192" s="409" t="s">
        <v>225</v>
      </c>
      <c r="D192" s="281" t="s">
        <v>226</v>
      </c>
      <c r="E192" s="150" t="s">
        <v>163</v>
      </c>
      <c r="F192" s="154"/>
      <c r="G192" s="238">
        <v>10</v>
      </c>
      <c r="H192" s="161">
        <v>1654</v>
      </c>
      <c r="I192" s="238">
        <v>2</v>
      </c>
      <c r="J192" s="304" t="s">
        <v>77</v>
      </c>
      <c r="K192" s="163">
        <v>1</v>
      </c>
      <c r="L192" s="163">
        <v>0</v>
      </c>
      <c r="M192" s="425">
        <f t="shared" si="50"/>
        <v>827</v>
      </c>
      <c r="N192" s="426">
        <f t="shared" si="52"/>
        <v>868.35</v>
      </c>
      <c r="O192" s="426">
        <f t="shared" si="51"/>
        <v>46312</v>
      </c>
      <c r="P192" s="161">
        <v>1</v>
      </c>
      <c r="Q192" s="162">
        <v>1</v>
      </c>
      <c r="R192" s="162">
        <f aca="true" t="shared" si="53" ref="R192:R224">45*$R$2</f>
        <v>1012500</v>
      </c>
      <c r="S192" s="162">
        <f aca="true" t="shared" si="54" ref="S192:S224">R192*Q192*P192*K192</f>
        <v>1012500</v>
      </c>
      <c r="T192" s="161">
        <f aca="true" t="shared" si="55" ref="T192:T224">L192*P192*Q192*R192</f>
        <v>0</v>
      </c>
      <c r="U192" s="153">
        <f aca="true" t="shared" si="56" ref="U192:U224">S192+T192</f>
        <v>1012500</v>
      </c>
    </row>
    <row r="193" spans="1:21" s="47" customFormat="1" ht="21.75" customHeight="1">
      <c r="A193" s="237">
        <v>34</v>
      </c>
      <c r="B193" s="214" t="s">
        <v>46</v>
      </c>
      <c r="C193" s="409" t="s">
        <v>227</v>
      </c>
      <c r="D193" s="281" t="s">
        <v>226</v>
      </c>
      <c r="E193" s="150" t="s">
        <v>163</v>
      </c>
      <c r="F193" s="154"/>
      <c r="G193" s="238">
        <v>10</v>
      </c>
      <c r="H193" s="161">
        <v>1654</v>
      </c>
      <c r="I193" s="238">
        <v>2</v>
      </c>
      <c r="J193" s="304" t="s">
        <v>77</v>
      </c>
      <c r="K193" s="163">
        <v>1</v>
      </c>
      <c r="L193" s="163">
        <v>0</v>
      </c>
      <c r="M193" s="425">
        <f t="shared" si="50"/>
        <v>827</v>
      </c>
      <c r="N193" s="426">
        <f t="shared" si="52"/>
        <v>868.35</v>
      </c>
      <c r="O193" s="426">
        <f t="shared" si="51"/>
        <v>46312</v>
      </c>
      <c r="P193" s="161">
        <v>1</v>
      </c>
      <c r="Q193" s="162">
        <v>1</v>
      </c>
      <c r="R193" s="162">
        <f t="shared" si="53"/>
        <v>1012500</v>
      </c>
      <c r="S193" s="162">
        <f t="shared" si="54"/>
        <v>1012500</v>
      </c>
      <c r="T193" s="161">
        <f t="shared" si="55"/>
        <v>0</v>
      </c>
      <c r="U193" s="153">
        <f t="shared" si="56"/>
        <v>1012500</v>
      </c>
    </row>
    <row r="194" spans="1:21" s="47" customFormat="1" ht="21.75" customHeight="1">
      <c r="A194" s="237">
        <v>35</v>
      </c>
      <c r="B194" s="214" t="s">
        <v>46</v>
      </c>
      <c r="C194" s="408" t="s">
        <v>228</v>
      </c>
      <c r="D194" s="280" t="s">
        <v>229</v>
      </c>
      <c r="E194" s="150" t="s">
        <v>1208</v>
      </c>
      <c r="F194" s="154"/>
      <c r="G194" s="161">
        <v>17</v>
      </c>
      <c r="H194" s="162">
        <v>700</v>
      </c>
      <c r="I194" s="153">
        <v>2</v>
      </c>
      <c r="J194" s="304" t="s">
        <v>77</v>
      </c>
      <c r="K194" s="163">
        <v>1</v>
      </c>
      <c r="L194" s="163">
        <v>0</v>
      </c>
      <c r="M194" s="425">
        <f t="shared" si="50"/>
        <v>595</v>
      </c>
      <c r="N194" s="426">
        <f t="shared" si="52"/>
        <v>624.75</v>
      </c>
      <c r="O194" s="426">
        <f t="shared" si="51"/>
        <v>33320</v>
      </c>
      <c r="P194" s="161">
        <v>1</v>
      </c>
      <c r="Q194" s="162">
        <v>1</v>
      </c>
      <c r="R194" s="162">
        <f t="shared" si="53"/>
        <v>1012500</v>
      </c>
      <c r="S194" s="162">
        <f t="shared" si="54"/>
        <v>1012500</v>
      </c>
      <c r="T194" s="161">
        <f t="shared" si="55"/>
        <v>0</v>
      </c>
      <c r="U194" s="153">
        <f t="shared" si="56"/>
        <v>1012500</v>
      </c>
    </row>
    <row r="195" spans="1:21" s="47" customFormat="1" ht="21.75" customHeight="1">
      <c r="A195" s="237">
        <v>36</v>
      </c>
      <c r="B195" s="214" t="s">
        <v>46</v>
      </c>
      <c r="C195" s="408" t="s">
        <v>230</v>
      </c>
      <c r="D195" s="280" t="s">
        <v>229</v>
      </c>
      <c r="E195" s="150" t="s">
        <v>1208</v>
      </c>
      <c r="F195" s="154"/>
      <c r="G195" s="161">
        <v>17</v>
      </c>
      <c r="H195" s="162">
        <v>700</v>
      </c>
      <c r="I195" s="153">
        <v>2</v>
      </c>
      <c r="J195" s="304" t="s">
        <v>62</v>
      </c>
      <c r="K195" s="163">
        <v>1</v>
      </c>
      <c r="L195" s="163">
        <v>0</v>
      </c>
      <c r="M195" s="425">
        <f t="shared" si="50"/>
        <v>595</v>
      </c>
      <c r="N195" s="426">
        <f t="shared" si="52"/>
        <v>624.75</v>
      </c>
      <c r="O195" s="426">
        <f t="shared" si="51"/>
        <v>33320</v>
      </c>
      <c r="P195" s="161">
        <v>1</v>
      </c>
      <c r="Q195" s="162">
        <v>1</v>
      </c>
      <c r="R195" s="162">
        <f t="shared" si="53"/>
        <v>1012500</v>
      </c>
      <c r="S195" s="162">
        <f t="shared" si="54"/>
        <v>1012500</v>
      </c>
      <c r="T195" s="161">
        <f t="shared" si="55"/>
        <v>0</v>
      </c>
      <c r="U195" s="153">
        <f t="shared" si="56"/>
        <v>1012500</v>
      </c>
    </row>
    <row r="196" spans="1:21" s="47" customFormat="1" ht="21.75" customHeight="1">
      <c r="A196" s="237">
        <v>37</v>
      </c>
      <c r="B196" s="214" t="s">
        <v>46</v>
      </c>
      <c r="C196" s="408" t="s">
        <v>231</v>
      </c>
      <c r="D196" s="281" t="s">
        <v>232</v>
      </c>
      <c r="E196" s="150" t="s">
        <v>351</v>
      </c>
      <c r="F196" s="154"/>
      <c r="G196" s="161">
        <v>12</v>
      </c>
      <c r="H196" s="162">
        <v>2200</v>
      </c>
      <c r="I196" s="153">
        <v>6</v>
      </c>
      <c r="J196" s="304" t="s">
        <v>77</v>
      </c>
      <c r="K196" s="163">
        <v>1</v>
      </c>
      <c r="L196" s="163">
        <v>0</v>
      </c>
      <c r="M196" s="425">
        <f t="shared" si="50"/>
        <v>1320</v>
      </c>
      <c r="N196" s="426">
        <f t="shared" si="52"/>
        <v>1386</v>
      </c>
      <c r="O196" s="426">
        <f t="shared" si="51"/>
        <v>73920</v>
      </c>
      <c r="P196" s="161">
        <v>1</v>
      </c>
      <c r="Q196" s="162">
        <v>1</v>
      </c>
      <c r="R196" s="162">
        <f t="shared" si="53"/>
        <v>1012500</v>
      </c>
      <c r="S196" s="162">
        <f t="shared" si="54"/>
        <v>1012500</v>
      </c>
      <c r="T196" s="161">
        <f t="shared" si="55"/>
        <v>0</v>
      </c>
      <c r="U196" s="153">
        <f t="shared" si="56"/>
        <v>1012500</v>
      </c>
    </row>
    <row r="197" spans="1:21" s="47" customFormat="1" ht="21.75" customHeight="1">
      <c r="A197" s="237">
        <v>38</v>
      </c>
      <c r="B197" s="214" t="s">
        <v>46</v>
      </c>
      <c r="C197" s="408" t="s">
        <v>233</v>
      </c>
      <c r="D197" s="281" t="s">
        <v>232</v>
      </c>
      <c r="E197" s="150" t="s">
        <v>351</v>
      </c>
      <c r="F197" s="154"/>
      <c r="G197" s="161">
        <v>12</v>
      </c>
      <c r="H197" s="162">
        <v>2200</v>
      </c>
      <c r="I197" s="153">
        <v>6</v>
      </c>
      <c r="J197" s="304" t="s">
        <v>77</v>
      </c>
      <c r="K197" s="163">
        <v>1</v>
      </c>
      <c r="L197" s="163">
        <v>0</v>
      </c>
      <c r="M197" s="425">
        <f t="shared" si="50"/>
        <v>1320</v>
      </c>
      <c r="N197" s="426">
        <f t="shared" si="52"/>
        <v>1386</v>
      </c>
      <c r="O197" s="426">
        <f t="shared" si="51"/>
        <v>73920</v>
      </c>
      <c r="P197" s="161">
        <v>1</v>
      </c>
      <c r="Q197" s="162">
        <v>1</v>
      </c>
      <c r="R197" s="162">
        <f t="shared" si="53"/>
        <v>1012500</v>
      </c>
      <c r="S197" s="162">
        <f t="shared" si="54"/>
        <v>1012500</v>
      </c>
      <c r="T197" s="161">
        <f t="shared" si="55"/>
        <v>0</v>
      </c>
      <c r="U197" s="153">
        <f t="shared" si="56"/>
        <v>1012500</v>
      </c>
    </row>
    <row r="198" spans="1:21" s="47" customFormat="1" ht="21.75" customHeight="1">
      <c r="A198" s="237">
        <v>39</v>
      </c>
      <c r="B198" s="214" t="s">
        <v>46</v>
      </c>
      <c r="C198" s="408" t="s">
        <v>234</v>
      </c>
      <c r="D198" s="281" t="s">
        <v>232</v>
      </c>
      <c r="E198" s="150" t="s">
        <v>351</v>
      </c>
      <c r="F198" s="154"/>
      <c r="G198" s="161">
        <v>12</v>
      </c>
      <c r="H198" s="162">
        <v>2200</v>
      </c>
      <c r="I198" s="153">
        <v>6</v>
      </c>
      <c r="J198" s="304" t="s">
        <v>77</v>
      </c>
      <c r="K198" s="163">
        <v>1</v>
      </c>
      <c r="L198" s="163">
        <v>0</v>
      </c>
      <c r="M198" s="425">
        <f t="shared" si="50"/>
        <v>1320</v>
      </c>
      <c r="N198" s="426">
        <f t="shared" si="52"/>
        <v>1386</v>
      </c>
      <c r="O198" s="426">
        <f t="shared" si="51"/>
        <v>73920</v>
      </c>
      <c r="P198" s="161">
        <v>1</v>
      </c>
      <c r="Q198" s="162">
        <v>1</v>
      </c>
      <c r="R198" s="162">
        <f t="shared" si="53"/>
        <v>1012500</v>
      </c>
      <c r="S198" s="162">
        <f t="shared" si="54"/>
        <v>1012500</v>
      </c>
      <c r="T198" s="161">
        <f t="shared" si="55"/>
        <v>0</v>
      </c>
      <c r="U198" s="153">
        <f t="shared" si="56"/>
        <v>1012500</v>
      </c>
    </row>
    <row r="199" spans="1:21" s="47" customFormat="1" ht="21.75" customHeight="1">
      <c r="A199" s="237">
        <v>40</v>
      </c>
      <c r="B199" s="214" t="s">
        <v>17</v>
      </c>
      <c r="C199" s="408" t="s">
        <v>235</v>
      </c>
      <c r="D199" s="280" t="s">
        <v>236</v>
      </c>
      <c r="E199" s="150" t="s">
        <v>332</v>
      </c>
      <c r="F199" s="154"/>
      <c r="G199" s="161">
        <v>8</v>
      </c>
      <c r="H199" s="162">
        <v>1024</v>
      </c>
      <c r="I199" s="153">
        <v>3</v>
      </c>
      <c r="J199" s="304" t="s">
        <v>1349</v>
      </c>
      <c r="K199" s="163">
        <v>1</v>
      </c>
      <c r="L199" s="163">
        <v>1</v>
      </c>
      <c r="M199" s="425">
        <f t="shared" si="50"/>
        <v>409.6</v>
      </c>
      <c r="N199" s="426">
        <f t="shared" si="52"/>
        <v>430.08</v>
      </c>
      <c r="O199" s="426">
        <f t="shared" si="51"/>
        <v>22937.600000000002</v>
      </c>
      <c r="P199" s="161">
        <v>1</v>
      </c>
      <c r="Q199" s="162">
        <v>1</v>
      </c>
      <c r="R199" s="162">
        <f t="shared" si="53"/>
        <v>1012500</v>
      </c>
      <c r="S199" s="162">
        <f t="shared" si="54"/>
        <v>1012500</v>
      </c>
      <c r="T199" s="161">
        <f t="shared" si="55"/>
        <v>1012500</v>
      </c>
      <c r="U199" s="153">
        <f t="shared" si="56"/>
        <v>2025000</v>
      </c>
    </row>
    <row r="200" spans="1:21" s="47" customFormat="1" ht="21.75" customHeight="1">
      <c r="A200" s="237">
        <v>41</v>
      </c>
      <c r="B200" s="214" t="s">
        <v>46</v>
      </c>
      <c r="C200" s="408" t="s">
        <v>302</v>
      </c>
      <c r="D200" s="280" t="s">
        <v>303</v>
      </c>
      <c r="E200" s="150" t="s">
        <v>1209</v>
      </c>
      <c r="F200" s="154"/>
      <c r="G200" s="239">
        <v>15</v>
      </c>
      <c r="H200" s="239">
        <v>1200</v>
      </c>
      <c r="I200" s="153">
        <v>8</v>
      </c>
      <c r="J200" s="304" t="s">
        <v>77</v>
      </c>
      <c r="K200" s="163">
        <v>1</v>
      </c>
      <c r="L200" s="163">
        <v>0</v>
      </c>
      <c r="M200" s="425">
        <f t="shared" si="50"/>
        <v>900</v>
      </c>
      <c r="N200" s="426">
        <f t="shared" si="52"/>
        <v>945</v>
      </c>
      <c r="O200" s="426">
        <f t="shared" si="51"/>
        <v>50400</v>
      </c>
      <c r="P200" s="161">
        <v>1</v>
      </c>
      <c r="Q200" s="162">
        <v>1</v>
      </c>
      <c r="R200" s="162">
        <f t="shared" si="53"/>
        <v>1012500</v>
      </c>
      <c r="S200" s="162">
        <f t="shared" si="54"/>
        <v>1012500</v>
      </c>
      <c r="T200" s="161">
        <f t="shared" si="55"/>
        <v>0</v>
      </c>
      <c r="U200" s="153">
        <f t="shared" si="56"/>
        <v>1012500</v>
      </c>
    </row>
    <row r="201" spans="1:21" s="47" customFormat="1" ht="21.75" customHeight="1">
      <c r="A201" s="237">
        <v>42</v>
      </c>
      <c r="B201" s="214" t="s">
        <v>46</v>
      </c>
      <c r="C201" s="408" t="s">
        <v>304</v>
      </c>
      <c r="D201" s="280" t="s">
        <v>303</v>
      </c>
      <c r="E201" s="150" t="s">
        <v>1209</v>
      </c>
      <c r="F201" s="154"/>
      <c r="G201" s="239">
        <v>15</v>
      </c>
      <c r="H201" s="239">
        <v>1200</v>
      </c>
      <c r="I201" s="153">
        <v>8</v>
      </c>
      <c r="J201" s="304" t="s">
        <v>77</v>
      </c>
      <c r="K201" s="163">
        <v>1</v>
      </c>
      <c r="L201" s="163">
        <v>0</v>
      </c>
      <c r="M201" s="425">
        <f>G201*H201/5</f>
        <v>3600</v>
      </c>
      <c r="N201" s="426">
        <f>M201*0.15*5.5</f>
        <v>2970</v>
      </c>
      <c r="O201" s="426">
        <f>M201*7.7*5.5+N201*2</f>
        <v>158400</v>
      </c>
      <c r="P201" s="161">
        <v>1</v>
      </c>
      <c r="Q201" s="162">
        <v>1</v>
      </c>
      <c r="R201" s="162">
        <f t="shared" si="53"/>
        <v>1012500</v>
      </c>
      <c r="S201" s="162">
        <f t="shared" si="54"/>
        <v>1012500</v>
      </c>
      <c r="T201" s="161">
        <f t="shared" si="55"/>
        <v>0</v>
      </c>
      <c r="U201" s="153">
        <f t="shared" si="56"/>
        <v>1012500</v>
      </c>
    </row>
    <row r="202" spans="1:21" s="47" customFormat="1" ht="21.75" customHeight="1">
      <c r="A202" s="237">
        <v>43</v>
      </c>
      <c r="B202" s="214" t="s">
        <v>46</v>
      </c>
      <c r="C202" s="408" t="s">
        <v>305</v>
      </c>
      <c r="D202" s="280" t="s">
        <v>303</v>
      </c>
      <c r="E202" s="150" t="s">
        <v>1209</v>
      </c>
      <c r="F202" s="154"/>
      <c r="G202" s="239">
        <v>15</v>
      </c>
      <c r="H202" s="239">
        <v>1200</v>
      </c>
      <c r="I202" s="153">
        <v>8</v>
      </c>
      <c r="J202" s="304" t="s">
        <v>77</v>
      </c>
      <c r="K202" s="163">
        <v>1</v>
      </c>
      <c r="L202" s="163">
        <v>0</v>
      </c>
      <c r="M202" s="425">
        <f aca="true" t="shared" si="57" ref="M202:M224">G202*H202*5/100</f>
        <v>900</v>
      </c>
      <c r="N202" s="426">
        <f aca="true" t="shared" si="58" ref="N202:N263">M202*0.15*7</f>
        <v>945</v>
      </c>
      <c r="O202" s="426">
        <f aca="true" t="shared" si="59" ref="O202:O263">M202*7.7*7+N202*2</f>
        <v>50400</v>
      </c>
      <c r="P202" s="161">
        <v>1</v>
      </c>
      <c r="Q202" s="162">
        <v>1</v>
      </c>
      <c r="R202" s="162">
        <f t="shared" si="53"/>
        <v>1012500</v>
      </c>
      <c r="S202" s="162">
        <f t="shared" si="54"/>
        <v>1012500</v>
      </c>
      <c r="T202" s="161">
        <f t="shared" si="55"/>
        <v>0</v>
      </c>
      <c r="U202" s="153">
        <f t="shared" si="56"/>
        <v>1012500</v>
      </c>
    </row>
    <row r="203" spans="1:21" s="47" customFormat="1" ht="21.75" customHeight="1">
      <c r="A203" s="237">
        <v>44</v>
      </c>
      <c r="B203" s="214" t="s">
        <v>46</v>
      </c>
      <c r="C203" s="408" t="s">
        <v>306</v>
      </c>
      <c r="D203" s="280" t="s">
        <v>303</v>
      </c>
      <c r="E203" s="150" t="s">
        <v>1209</v>
      </c>
      <c r="F203" s="154"/>
      <c r="G203" s="239">
        <v>15</v>
      </c>
      <c r="H203" s="239">
        <v>1200</v>
      </c>
      <c r="I203" s="153">
        <v>8</v>
      </c>
      <c r="J203" s="304" t="s">
        <v>77</v>
      </c>
      <c r="K203" s="163">
        <v>1</v>
      </c>
      <c r="L203" s="163">
        <v>0</v>
      </c>
      <c r="M203" s="425">
        <f t="shared" si="57"/>
        <v>900</v>
      </c>
      <c r="N203" s="426">
        <f t="shared" si="58"/>
        <v>945</v>
      </c>
      <c r="O203" s="426">
        <f t="shared" si="59"/>
        <v>50400</v>
      </c>
      <c r="P203" s="161">
        <v>1</v>
      </c>
      <c r="Q203" s="162">
        <v>1</v>
      </c>
      <c r="R203" s="162">
        <f t="shared" si="53"/>
        <v>1012500</v>
      </c>
      <c r="S203" s="162">
        <f t="shared" si="54"/>
        <v>1012500</v>
      </c>
      <c r="T203" s="161">
        <f t="shared" si="55"/>
        <v>0</v>
      </c>
      <c r="U203" s="153">
        <f t="shared" si="56"/>
        <v>1012500</v>
      </c>
    </row>
    <row r="204" spans="1:21" s="47" customFormat="1" ht="21.75" customHeight="1">
      <c r="A204" s="237">
        <v>45</v>
      </c>
      <c r="B204" s="214" t="s">
        <v>46</v>
      </c>
      <c r="C204" s="408" t="s">
        <v>307</v>
      </c>
      <c r="D204" s="280" t="s">
        <v>308</v>
      </c>
      <c r="E204" s="150" t="s">
        <v>1208</v>
      </c>
      <c r="F204" s="154"/>
      <c r="G204" s="239">
        <v>12</v>
      </c>
      <c r="H204" s="239">
        <v>1500</v>
      </c>
      <c r="I204" s="153">
        <v>4</v>
      </c>
      <c r="J204" s="304" t="s">
        <v>77</v>
      </c>
      <c r="K204" s="163">
        <v>1</v>
      </c>
      <c r="L204" s="163">
        <v>0</v>
      </c>
      <c r="M204" s="425">
        <f t="shared" si="57"/>
        <v>900</v>
      </c>
      <c r="N204" s="426">
        <f t="shared" si="58"/>
        <v>945</v>
      </c>
      <c r="O204" s="426">
        <f t="shared" si="59"/>
        <v>50400</v>
      </c>
      <c r="P204" s="161">
        <v>1</v>
      </c>
      <c r="Q204" s="162">
        <v>1</v>
      </c>
      <c r="R204" s="162">
        <f t="shared" si="53"/>
        <v>1012500</v>
      </c>
      <c r="S204" s="162">
        <f t="shared" si="54"/>
        <v>1012500</v>
      </c>
      <c r="T204" s="161">
        <f t="shared" si="55"/>
        <v>0</v>
      </c>
      <c r="U204" s="153">
        <f t="shared" si="56"/>
        <v>1012500</v>
      </c>
    </row>
    <row r="205" spans="1:21" s="47" customFormat="1" ht="21.75" customHeight="1">
      <c r="A205" s="237">
        <v>46</v>
      </c>
      <c r="B205" s="214" t="s">
        <v>46</v>
      </c>
      <c r="C205" s="408" t="s">
        <v>309</v>
      </c>
      <c r="D205" s="280" t="s">
        <v>308</v>
      </c>
      <c r="E205" s="150" t="s">
        <v>1208</v>
      </c>
      <c r="F205" s="154"/>
      <c r="G205" s="239">
        <v>12</v>
      </c>
      <c r="H205" s="239">
        <v>1500</v>
      </c>
      <c r="I205" s="153">
        <v>4</v>
      </c>
      <c r="J205" s="304" t="s">
        <v>77</v>
      </c>
      <c r="K205" s="163">
        <v>1</v>
      </c>
      <c r="L205" s="163">
        <v>0</v>
      </c>
      <c r="M205" s="425">
        <f t="shared" si="57"/>
        <v>900</v>
      </c>
      <c r="N205" s="426">
        <f t="shared" si="58"/>
        <v>945</v>
      </c>
      <c r="O205" s="426">
        <f t="shared" si="59"/>
        <v>50400</v>
      </c>
      <c r="P205" s="161">
        <v>1</v>
      </c>
      <c r="Q205" s="162">
        <v>1</v>
      </c>
      <c r="R205" s="162">
        <f t="shared" si="53"/>
        <v>1012500</v>
      </c>
      <c r="S205" s="162">
        <f t="shared" si="54"/>
        <v>1012500</v>
      </c>
      <c r="T205" s="161">
        <f t="shared" si="55"/>
        <v>0</v>
      </c>
      <c r="U205" s="153">
        <f t="shared" si="56"/>
        <v>1012500</v>
      </c>
    </row>
    <row r="206" spans="1:21" s="47" customFormat="1" ht="21.75" customHeight="1">
      <c r="A206" s="237">
        <v>47</v>
      </c>
      <c r="B206" s="214" t="s">
        <v>46</v>
      </c>
      <c r="C206" s="408" t="s">
        <v>310</v>
      </c>
      <c r="D206" s="141" t="s">
        <v>311</v>
      </c>
      <c r="E206" s="150" t="s">
        <v>147</v>
      </c>
      <c r="F206" s="154"/>
      <c r="G206" s="239">
        <v>20</v>
      </c>
      <c r="H206" s="162">
        <f aca="true" t="shared" si="60" ref="H206:H211">11500/6</f>
        <v>1916.6666666666667</v>
      </c>
      <c r="I206" s="153">
        <v>2</v>
      </c>
      <c r="J206" s="304" t="s">
        <v>25</v>
      </c>
      <c r="K206" s="163">
        <v>1</v>
      </c>
      <c r="L206" s="163">
        <v>0</v>
      </c>
      <c r="M206" s="425">
        <f t="shared" si="57"/>
        <v>1916.666666666667</v>
      </c>
      <c r="N206" s="426">
        <f t="shared" si="58"/>
        <v>2012.5000000000005</v>
      </c>
      <c r="O206" s="426">
        <f t="shared" si="59"/>
        <v>107333.33333333334</v>
      </c>
      <c r="P206" s="161">
        <v>1</v>
      </c>
      <c r="Q206" s="162">
        <v>1</v>
      </c>
      <c r="R206" s="162">
        <f t="shared" si="53"/>
        <v>1012500</v>
      </c>
      <c r="S206" s="162">
        <f t="shared" si="54"/>
        <v>1012500</v>
      </c>
      <c r="T206" s="161">
        <f t="shared" si="55"/>
        <v>0</v>
      </c>
      <c r="U206" s="153">
        <f t="shared" si="56"/>
        <v>1012500</v>
      </c>
    </row>
    <row r="207" spans="1:21" s="47" customFormat="1" ht="21.75" customHeight="1">
      <c r="A207" s="237">
        <v>48</v>
      </c>
      <c r="B207" s="214" t="s">
        <v>46</v>
      </c>
      <c r="C207" s="408" t="s">
        <v>312</v>
      </c>
      <c r="D207" s="141" t="s">
        <v>311</v>
      </c>
      <c r="E207" s="150" t="s">
        <v>147</v>
      </c>
      <c r="F207" s="154"/>
      <c r="G207" s="239">
        <v>20</v>
      </c>
      <c r="H207" s="162">
        <f t="shared" si="60"/>
        <v>1916.6666666666667</v>
      </c>
      <c r="I207" s="153">
        <v>2</v>
      </c>
      <c r="J207" s="304" t="s">
        <v>25</v>
      </c>
      <c r="K207" s="163">
        <v>1</v>
      </c>
      <c r="L207" s="163">
        <v>0</v>
      </c>
      <c r="M207" s="425">
        <f t="shared" si="57"/>
        <v>1916.666666666667</v>
      </c>
      <c r="N207" s="426">
        <f t="shared" si="58"/>
        <v>2012.5000000000005</v>
      </c>
      <c r="O207" s="426">
        <f t="shared" si="59"/>
        <v>107333.33333333334</v>
      </c>
      <c r="P207" s="161">
        <v>1</v>
      </c>
      <c r="Q207" s="162">
        <v>1</v>
      </c>
      <c r="R207" s="162">
        <f t="shared" si="53"/>
        <v>1012500</v>
      </c>
      <c r="S207" s="162">
        <f t="shared" si="54"/>
        <v>1012500</v>
      </c>
      <c r="T207" s="161">
        <f t="shared" si="55"/>
        <v>0</v>
      </c>
      <c r="U207" s="153">
        <f t="shared" si="56"/>
        <v>1012500</v>
      </c>
    </row>
    <row r="208" spans="1:21" s="47" customFormat="1" ht="21.75" customHeight="1">
      <c r="A208" s="237">
        <v>49</v>
      </c>
      <c r="B208" s="214" t="s">
        <v>46</v>
      </c>
      <c r="C208" s="408" t="s">
        <v>313</v>
      </c>
      <c r="D208" s="141" t="s">
        <v>311</v>
      </c>
      <c r="E208" s="150" t="s">
        <v>147</v>
      </c>
      <c r="F208" s="154"/>
      <c r="G208" s="239">
        <v>20</v>
      </c>
      <c r="H208" s="162">
        <f t="shared" si="60"/>
        <v>1916.6666666666667</v>
      </c>
      <c r="I208" s="153">
        <v>2</v>
      </c>
      <c r="J208" s="304" t="s">
        <v>25</v>
      </c>
      <c r="K208" s="163">
        <v>1</v>
      </c>
      <c r="L208" s="163">
        <v>0</v>
      </c>
      <c r="M208" s="425">
        <f t="shared" si="57"/>
        <v>1916.666666666667</v>
      </c>
      <c r="N208" s="426">
        <f t="shared" si="58"/>
        <v>2012.5000000000005</v>
      </c>
      <c r="O208" s="426">
        <f t="shared" si="59"/>
        <v>107333.33333333334</v>
      </c>
      <c r="P208" s="161">
        <v>1</v>
      </c>
      <c r="Q208" s="162">
        <v>1</v>
      </c>
      <c r="R208" s="162">
        <f t="shared" si="53"/>
        <v>1012500</v>
      </c>
      <c r="S208" s="162">
        <f t="shared" si="54"/>
        <v>1012500</v>
      </c>
      <c r="T208" s="161">
        <f t="shared" si="55"/>
        <v>0</v>
      </c>
      <c r="U208" s="153">
        <f t="shared" si="56"/>
        <v>1012500</v>
      </c>
    </row>
    <row r="209" spans="1:21" s="47" customFormat="1" ht="21.75" customHeight="1">
      <c r="A209" s="237">
        <v>50</v>
      </c>
      <c r="B209" s="214" t="s">
        <v>46</v>
      </c>
      <c r="C209" s="408" t="s">
        <v>314</v>
      </c>
      <c r="D209" s="141" t="s">
        <v>311</v>
      </c>
      <c r="E209" s="150" t="s">
        <v>147</v>
      </c>
      <c r="F209" s="154"/>
      <c r="G209" s="239">
        <v>20</v>
      </c>
      <c r="H209" s="162">
        <f t="shared" si="60"/>
        <v>1916.6666666666667</v>
      </c>
      <c r="I209" s="153">
        <v>2</v>
      </c>
      <c r="J209" s="304" t="s">
        <v>25</v>
      </c>
      <c r="K209" s="163">
        <v>1</v>
      </c>
      <c r="L209" s="163">
        <v>0</v>
      </c>
      <c r="M209" s="425">
        <f t="shared" si="57"/>
        <v>1916.666666666667</v>
      </c>
      <c r="N209" s="426">
        <f t="shared" si="58"/>
        <v>2012.5000000000005</v>
      </c>
      <c r="O209" s="426">
        <f t="shared" si="59"/>
        <v>107333.33333333334</v>
      </c>
      <c r="P209" s="161">
        <v>1</v>
      </c>
      <c r="Q209" s="162">
        <v>1</v>
      </c>
      <c r="R209" s="162">
        <f t="shared" si="53"/>
        <v>1012500</v>
      </c>
      <c r="S209" s="162">
        <f t="shared" si="54"/>
        <v>1012500</v>
      </c>
      <c r="T209" s="161">
        <f t="shared" si="55"/>
        <v>0</v>
      </c>
      <c r="U209" s="153">
        <f t="shared" si="56"/>
        <v>1012500</v>
      </c>
    </row>
    <row r="210" spans="1:21" s="47" customFormat="1" ht="21.75" customHeight="1">
      <c r="A210" s="237">
        <v>51</v>
      </c>
      <c r="B210" s="214" t="s">
        <v>46</v>
      </c>
      <c r="C210" s="408" t="s">
        <v>315</v>
      </c>
      <c r="D210" s="141" t="s">
        <v>311</v>
      </c>
      <c r="E210" s="150" t="s">
        <v>147</v>
      </c>
      <c r="F210" s="154"/>
      <c r="G210" s="239">
        <v>20</v>
      </c>
      <c r="H210" s="162">
        <f t="shared" si="60"/>
        <v>1916.6666666666667</v>
      </c>
      <c r="I210" s="153">
        <v>2</v>
      </c>
      <c r="J210" s="304" t="s">
        <v>25</v>
      </c>
      <c r="K210" s="163">
        <v>1</v>
      </c>
      <c r="L210" s="163">
        <v>0</v>
      </c>
      <c r="M210" s="425">
        <f t="shared" si="57"/>
        <v>1916.666666666667</v>
      </c>
      <c r="N210" s="426">
        <f t="shared" si="58"/>
        <v>2012.5000000000005</v>
      </c>
      <c r="O210" s="426">
        <f t="shared" si="59"/>
        <v>107333.33333333334</v>
      </c>
      <c r="P210" s="161">
        <v>1</v>
      </c>
      <c r="Q210" s="162">
        <v>1</v>
      </c>
      <c r="R210" s="162">
        <f t="shared" si="53"/>
        <v>1012500</v>
      </c>
      <c r="S210" s="162">
        <f t="shared" si="54"/>
        <v>1012500</v>
      </c>
      <c r="T210" s="161">
        <f t="shared" si="55"/>
        <v>0</v>
      </c>
      <c r="U210" s="153">
        <f t="shared" si="56"/>
        <v>1012500</v>
      </c>
    </row>
    <row r="211" spans="1:21" s="47" customFormat="1" ht="21.75" customHeight="1">
      <c r="A211" s="237">
        <v>52</v>
      </c>
      <c r="B211" s="214" t="s">
        <v>46</v>
      </c>
      <c r="C211" s="408" t="s">
        <v>316</v>
      </c>
      <c r="D211" s="141" t="s">
        <v>311</v>
      </c>
      <c r="E211" s="150" t="s">
        <v>147</v>
      </c>
      <c r="F211" s="154"/>
      <c r="G211" s="239">
        <v>20</v>
      </c>
      <c r="H211" s="162">
        <f t="shared" si="60"/>
        <v>1916.6666666666667</v>
      </c>
      <c r="I211" s="153">
        <v>2</v>
      </c>
      <c r="J211" s="304" t="s">
        <v>25</v>
      </c>
      <c r="K211" s="163">
        <v>1</v>
      </c>
      <c r="L211" s="163">
        <v>0</v>
      </c>
      <c r="M211" s="425">
        <f t="shared" si="57"/>
        <v>1916.666666666667</v>
      </c>
      <c r="N211" s="426">
        <f t="shared" si="58"/>
        <v>2012.5000000000005</v>
      </c>
      <c r="O211" s="426">
        <f t="shared" si="59"/>
        <v>107333.33333333334</v>
      </c>
      <c r="P211" s="161">
        <v>1</v>
      </c>
      <c r="Q211" s="162">
        <v>1</v>
      </c>
      <c r="R211" s="162">
        <f t="shared" si="53"/>
        <v>1012500</v>
      </c>
      <c r="S211" s="162">
        <f t="shared" si="54"/>
        <v>1012500</v>
      </c>
      <c r="T211" s="161">
        <f t="shared" si="55"/>
        <v>0</v>
      </c>
      <c r="U211" s="153">
        <f t="shared" si="56"/>
        <v>1012500</v>
      </c>
    </row>
    <row r="212" spans="1:21" s="47" customFormat="1" ht="21.75" customHeight="1">
      <c r="A212" s="237">
        <v>53</v>
      </c>
      <c r="B212" s="214" t="s">
        <v>46</v>
      </c>
      <c r="C212" s="408" t="s">
        <v>1560</v>
      </c>
      <c r="D212" s="141" t="s">
        <v>1561</v>
      </c>
      <c r="E212" s="150" t="s">
        <v>107</v>
      </c>
      <c r="F212" s="154"/>
      <c r="G212" s="239">
        <v>17</v>
      </c>
      <c r="H212" s="317">
        <v>2000</v>
      </c>
      <c r="I212" s="153">
        <v>2</v>
      </c>
      <c r="J212" s="304" t="s">
        <v>62</v>
      </c>
      <c r="K212" s="163">
        <v>1</v>
      </c>
      <c r="L212" s="163"/>
      <c r="M212" s="425">
        <f>G212*H212*5/100</f>
        <v>1700</v>
      </c>
      <c r="N212" s="426">
        <f>M212*0.15*7</f>
        <v>1785</v>
      </c>
      <c r="O212" s="426">
        <f>M212*7.7*7+N212*2</f>
        <v>95200</v>
      </c>
      <c r="P212" s="161">
        <v>1</v>
      </c>
      <c r="Q212" s="317">
        <v>1</v>
      </c>
      <c r="R212" s="317">
        <f t="shared" si="53"/>
        <v>1012500</v>
      </c>
      <c r="S212" s="317">
        <f>R212*Q212*P212*K212</f>
        <v>1012500</v>
      </c>
      <c r="T212" s="161">
        <f>L212*P212*Q212*R212</f>
        <v>0</v>
      </c>
      <c r="U212" s="153">
        <f>S212+T212</f>
        <v>1012500</v>
      </c>
    </row>
    <row r="213" spans="1:21" s="47" customFormat="1" ht="21.75" customHeight="1">
      <c r="A213" s="237">
        <v>54</v>
      </c>
      <c r="B213" s="214" t="s">
        <v>46</v>
      </c>
      <c r="C213" s="408" t="s">
        <v>1562</v>
      </c>
      <c r="D213" s="141" t="s">
        <v>1561</v>
      </c>
      <c r="E213" s="150" t="s">
        <v>107</v>
      </c>
      <c r="F213" s="154"/>
      <c r="G213" s="239">
        <v>17</v>
      </c>
      <c r="H213" s="317">
        <v>2000</v>
      </c>
      <c r="I213" s="153">
        <v>2</v>
      </c>
      <c r="J213" s="304" t="s">
        <v>62</v>
      </c>
      <c r="K213" s="163">
        <v>1</v>
      </c>
      <c r="L213" s="163"/>
      <c r="M213" s="425">
        <f>G213*H213*5/100</f>
        <v>1700</v>
      </c>
      <c r="N213" s="426">
        <f>M213*0.15*7</f>
        <v>1785</v>
      </c>
      <c r="O213" s="426">
        <f>M213*7.7*7+N213*2</f>
        <v>95200</v>
      </c>
      <c r="P213" s="161">
        <v>1</v>
      </c>
      <c r="Q213" s="317">
        <v>1</v>
      </c>
      <c r="R213" s="317">
        <f t="shared" si="53"/>
        <v>1012500</v>
      </c>
      <c r="S213" s="317">
        <f>R213*Q213*P213*K213</f>
        <v>1012500</v>
      </c>
      <c r="T213" s="161">
        <f>L213*P213*Q213*R213</f>
        <v>0</v>
      </c>
      <c r="U213" s="153">
        <f>S213+T213</f>
        <v>1012500</v>
      </c>
    </row>
    <row r="214" spans="1:21" s="47" customFormat="1" ht="21.75" customHeight="1">
      <c r="A214" s="237">
        <v>55</v>
      </c>
      <c r="B214" s="214" t="s">
        <v>46</v>
      </c>
      <c r="C214" s="408" t="s">
        <v>1563</v>
      </c>
      <c r="D214" s="141" t="s">
        <v>1561</v>
      </c>
      <c r="E214" s="150" t="s">
        <v>107</v>
      </c>
      <c r="F214" s="154"/>
      <c r="G214" s="239">
        <v>17</v>
      </c>
      <c r="H214" s="317">
        <v>2000</v>
      </c>
      <c r="I214" s="153">
        <v>2</v>
      </c>
      <c r="J214" s="304" t="s">
        <v>62</v>
      </c>
      <c r="K214" s="163">
        <v>1</v>
      </c>
      <c r="L214" s="163"/>
      <c r="M214" s="425">
        <f>G214*H214*5/100</f>
        <v>1700</v>
      </c>
      <c r="N214" s="426">
        <f>M214*0.15*7</f>
        <v>1785</v>
      </c>
      <c r="O214" s="426">
        <f>M214*7.7*7+N214*2</f>
        <v>95200</v>
      </c>
      <c r="P214" s="161">
        <v>1</v>
      </c>
      <c r="Q214" s="317">
        <v>1</v>
      </c>
      <c r="R214" s="317">
        <f t="shared" si="53"/>
        <v>1012500</v>
      </c>
      <c r="S214" s="317">
        <f>R214*Q214*P214*K214</f>
        <v>1012500</v>
      </c>
      <c r="T214" s="161">
        <f>L214*P214*Q214*R214</f>
        <v>0</v>
      </c>
      <c r="U214" s="153">
        <f>S214+T214</f>
        <v>1012500</v>
      </c>
    </row>
    <row r="215" spans="1:21" s="47" customFormat="1" ht="21.75" customHeight="1">
      <c r="A215" s="237">
        <v>56</v>
      </c>
      <c r="B215" s="214" t="s">
        <v>46</v>
      </c>
      <c r="C215" s="409" t="s">
        <v>1166</v>
      </c>
      <c r="D215" s="281" t="s">
        <v>317</v>
      </c>
      <c r="E215" s="150" t="s">
        <v>147</v>
      </c>
      <c r="F215" s="154"/>
      <c r="G215" s="239">
        <v>11</v>
      </c>
      <c r="H215" s="162">
        <v>667</v>
      </c>
      <c r="I215" s="153">
        <v>2</v>
      </c>
      <c r="J215" s="304" t="s">
        <v>62</v>
      </c>
      <c r="K215" s="163">
        <v>1</v>
      </c>
      <c r="L215" s="163">
        <v>0</v>
      </c>
      <c r="M215" s="425">
        <f t="shared" si="57"/>
        <v>366.85</v>
      </c>
      <c r="N215" s="426">
        <f t="shared" si="58"/>
        <v>385.1925</v>
      </c>
      <c r="O215" s="426">
        <f t="shared" si="59"/>
        <v>20543.600000000002</v>
      </c>
      <c r="P215" s="161">
        <v>1</v>
      </c>
      <c r="Q215" s="162">
        <v>1</v>
      </c>
      <c r="R215" s="162">
        <f t="shared" si="53"/>
        <v>1012500</v>
      </c>
      <c r="S215" s="162">
        <f t="shared" si="54"/>
        <v>1012500</v>
      </c>
      <c r="T215" s="161">
        <f t="shared" si="55"/>
        <v>0</v>
      </c>
      <c r="U215" s="153">
        <f t="shared" si="56"/>
        <v>1012500</v>
      </c>
    </row>
    <row r="216" spans="1:21" s="47" customFormat="1" ht="21.75" customHeight="1">
      <c r="A216" s="237">
        <v>57</v>
      </c>
      <c r="B216" s="214" t="s">
        <v>46</v>
      </c>
      <c r="C216" s="409" t="s">
        <v>1167</v>
      </c>
      <c r="D216" s="281" t="s">
        <v>317</v>
      </c>
      <c r="E216" s="150" t="s">
        <v>147</v>
      </c>
      <c r="F216" s="154"/>
      <c r="G216" s="239">
        <v>11</v>
      </c>
      <c r="H216" s="162">
        <v>667</v>
      </c>
      <c r="I216" s="153">
        <v>2</v>
      </c>
      <c r="J216" s="304" t="s">
        <v>62</v>
      </c>
      <c r="K216" s="163">
        <v>1</v>
      </c>
      <c r="L216" s="163">
        <v>0</v>
      </c>
      <c r="M216" s="425">
        <f t="shared" si="57"/>
        <v>366.85</v>
      </c>
      <c r="N216" s="426">
        <f t="shared" si="58"/>
        <v>385.1925</v>
      </c>
      <c r="O216" s="426">
        <f t="shared" si="59"/>
        <v>20543.600000000002</v>
      </c>
      <c r="P216" s="161">
        <v>1</v>
      </c>
      <c r="Q216" s="162">
        <v>1</v>
      </c>
      <c r="R216" s="162">
        <f t="shared" si="53"/>
        <v>1012500</v>
      </c>
      <c r="S216" s="162">
        <f t="shared" si="54"/>
        <v>1012500</v>
      </c>
      <c r="T216" s="161">
        <f t="shared" si="55"/>
        <v>0</v>
      </c>
      <c r="U216" s="153">
        <f t="shared" si="56"/>
        <v>1012500</v>
      </c>
    </row>
    <row r="217" spans="1:21" s="47" customFormat="1" ht="21.75" customHeight="1">
      <c r="A217" s="237">
        <v>58</v>
      </c>
      <c r="B217" s="214" t="s">
        <v>46</v>
      </c>
      <c r="C217" s="409" t="s">
        <v>1168</v>
      </c>
      <c r="D217" s="281" t="s">
        <v>317</v>
      </c>
      <c r="E217" s="150" t="s">
        <v>147</v>
      </c>
      <c r="F217" s="154"/>
      <c r="G217" s="239">
        <v>11</v>
      </c>
      <c r="H217" s="162">
        <v>667</v>
      </c>
      <c r="I217" s="153">
        <v>2</v>
      </c>
      <c r="J217" s="304" t="s">
        <v>62</v>
      </c>
      <c r="K217" s="163">
        <v>1</v>
      </c>
      <c r="L217" s="163">
        <v>0</v>
      </c>
      <c r="M217" s="425">
        <f t="shared" si="57"/>
        <v>366.85</v>
      </c>
      <c r="N217" s="426">
        <f t="shared" si="58"/>
        <v>385.1925</v>
      </c>
      <c r="O217" s="426">
        <f t="shared" si="59"/>
        <v>20543.600000000002</v>
      </c>
      <c r="P217" s="161">
        <v>1</v>
      </c>
      <c r="Q217" s="162">
        <v>1</v>
      </c>
      <c r="R217" s="162">
        <f t="shared" si="53"/>
        <v>1012500</v>
      </c>
      <c r="S217" s="162">
        <f t="shared" si="54"/>
        <v>1012500</v>
      </c>
      <c r="T217" s="161">
        <f t="shared" si="55"/>
        <v>0</v>
      </c>
      <c r="U217" s="153">
        <f t="shared" si="56"/>
        <v>1012500</v>
      </c>
    </row>
    <row r="218" spans="1:21" s="47" customFormat="1" ht="21.75" customHeight="1">
      <c r="A218" s="237">
        <v>59</v>
      </c>
      <c r="B218" s="214" t="s">
        <v>46</v>
      </c>
      <c r="C218" s="409" t="s">
        <v>1169</v>
      </c>
      <c r="D218" s="281" t="s">
        <v>317</v>
      </c>
      <c r="E218" s="150" t="s">
        <v>147</v>
      </c>
      <c r="F218" s="154"/>
      <c r="G218" s="239">
        <v>11</v>
      </c>
      <c r="H218" s="162">
        <v>667</v>
      </c>
      <c r="I218" s="153">
        <v>2</v>
      </c>
      <c r="J218" s="304" t="s">
        <v>62</v>
      </c>
      <c r="K218" s="163">
        <v>1</v>
      </c>
      <c r="L218" s="163">
        <v>0</v>
      </c>
      <c r="M218" s="425">
        <f t="shared" si="57"/>
        <v>366.85</v>
      </c>
      <c r="N218" s="426">
        <f t="shared" si="58"/>
        <v>385.1925</v>
      </c>
      <c r="O218" s="426">
        <f t="shared" si="59"/>
        <v>20543.600000000002</v>
      </c>
      <c r="P218" s="161">
        <v>1</v>
      </c>
      <c r="Q218" s="162">
        <v>1</v>
      </c>
      <c r="R218" s="162">
        <f t="shared" si="53"/>
        <v>1012500</v>
      </c>
      <c r="S218" s="162">
        <f t="shared" si="54"/>
        <v>1012500</v>
      </c>
      <c r="T218" s="161">
        <f t="shared" si="55"/>
        <v>0</v>
      </c>
      <c r="U218" s="153">
        <f t="shared" si="56"/>
        <v>1012500</v>
      </c>
    </row>
    <row r="219" spans="1:21" s="47" customFormat="1" ht="21.75" customHeight="1">
      <c r="A219" s="237">
        <v>60</v>
      </c>
      <c r="B219" s="214" t="s">
        <v>46</v>
      </c>
      <c r="C219" s="409" t="s">
        <v>1170</v>
      </c>
      <c r="D219" s="281" t="s">
        <v>317</v>
      </c>
      <c r="E219" s="150" t="s">
        <v>147</v>
      </c>
      <c r="F219" s="154"/>
      <c r="G219" s="239">
        <v>11</v>
      </c>
      <c r="H219" s="162">
        <v>667</v>
      </c>
      <c r="I219" s="153">
        <v>2</v>
      </c>
      <c r="J219" s="304" t="s">
        <v>62</v>
      </c>
      <c r="K219" s="163">
        <v>1</v>
      </c>
      <c r="L219" s="163">
        <v>0</v>
      </c>
      <c r="M219" s="425">
        <f t="shared" si="57"/>
        <v>366.85</v>
      </c>
      <c r="N219" s="426">
        <f t="shared" si="58"/>
        <v>385.1925</v>
      </c>
      <c r="O219" s="426">
        <f t="shared" si="59"/>
        <v>20543.600000000002</v>
      </c>
      <c r="P219" s="161">
        <v>1</v>
      </c>
      <c r="Q219" s="162">
        <v>1</v>
      </c>
      <c r="R219" s="162">
        <f t="shared" si="53"/>
        <v>1012500</v>
      </c>
      <c r="S219" s="162">
        <f t="shared" si="54"/>
        <v>1012500</v>
      </c>
      <c r="T219" s="161">
        <f t="shared" si="55"/>
        <v>0</v>
      </c>
      <c r="U219" s="153">
        <f t="shared" si="56"/>
        <v>1012500</v>
      </c>
    </row>
    <row r="220" spans="1:21" s="47" customFormat="1" ht="21.75" customHeight="1">
      <c r="A220" s="237">
        <v>61</v>
      </c>
      <c r="B220" s="214" t="s">
        <v>46</v>
      </c>
      <c r="C220" s="409" t="s">
        <v>1171</v>
      </c>
      <c r="D220" s="281" t="s">
        <v>317</v>
      </c>
      <c r="E220" s="150" t="s">
        <v>147</v>
      </c>
      <c r="F220" s="154"/>
      <c r="G220" s="239">
        <v>11</v>
      </c>
      <c r="H220" s="162">
        <v>667</v>
      </c>
      <c r="I220" s="153">
        <v>2</v>
      </c>
      <c r="J220" s="304" t="s">
        <v>62</v>
      </c>
      <c r="K220" s="163">
        <v>1</v>
      </c>
      <c r="L220" s="163">
        <v>0</v>
      </c>
      <c r="M220" s="425">
        <f t="shared" si="57"/>
        <v>366.85</v>
      </c>
      <c r="N220" s="426">
        <f t="shared" si="58"/>
        <v>385.1925</v>
      </c>
      <c r="O220" s="426">
        <f t="shared" si="59"/>
        <v>20543.600000000002</v>
      </c>
      <c r="P220" s="161">
        <v>1</v>
      </c>
      <c r="Q220" s="162">
        <v>1</v>
      </c>
      <c r="R220" s="162">
        <f t="shared" si="53"/>
        <v>1012500</v>
      </c>
      <c r="S220" s="162">
        <f t="shared" si="54"/>
        <v>1012500</v>
      </c>
      <c r="T220" s="161">
        <f t="shared" si="55"/>
        <v>0</v>
      </c>
      <c r="U220" s="153">
        <f t="shared" si="56"/>
        <v>1012500</v>
      </c>
    </row>
    <row r="221" spans="1:21" s="47" customFormat="1" ht="21.75" customHeight="1">
      <c r="A221" s="237">
        <v>62</v>
      </c>
      <c r="B221" s="214" t="s">
        <v>46</v>
      </c>
      <c r="C221" s="409" t="s">
        <v>318</v>
      </c>
      <c r="D221" s="281" t="s">
        <v>319</v>
      </c>
      <c r="E221" s="150" t="s">
        <v>351</v>
      </c>
      <c r="F221" s="154"/>
      <c r="G221" s="239">
        <v>15</v>
      </c>
      <c r="H221" s="162">
        <v>3679</v>
      </c>
      <c r="I221" s="153">
        <v>2</v>
      </c>
      <c r="J221" s="304" t="s">
        <v>77</v>
      </c>
      <c r="K221" s="163">
        <v>1</v>
      </c>
      <c r="L221" s="163">
        <v>0</v>
      </c>
      <c r="M221" s="425">
        <f t="shared" si="57"/>
        <v>2759.25</v>
      </c>
      <c r="N221" s="426">
        <f t="shared" si="58"/>
        <v>2897.2125</v>
      </c>
      <c r="O221" s="426">
        <f t="shared" si="59"/>
        <v>154518</v>
      </c>
      <c r="P221" s="161">
        <v>1</v>
      </c>
      <c r="Q221" s="162">
        <v>1</v>
      </c>
      <c r="R221" s="162">
        <f t="shared" si="53"/>
        <v>1012500</v>
      </c>
      <c r="S221" s="162">
        <f t="shared" si="54"/>
        <v>1012500</v>
      </c>
      <c r="T221" s="161">
        <f t="shared" si="55"/>
        <v>0</v>
      </c>
      <c r="U221" s="153">
        <f t="shared" si="56"/>
        <v>1012500</v>
      </c>
    </row>
    <row r="222" spans="1:21" s="47" customFormat="1" ht="21.75" customHeight="1">
      <c r="A222" s="237">
        <v>63</v>
      </c>
      <c r="B222" s="214" t="s">
        <v>46</v>
      </c>
      <c r="C222" s="409" t="s">
        <v>320</v>
      </c>
      <c r="D222" s="281" t="s">
        <v>319</v>
      </c>
      <c r="E222" s="150" t="s">
        <v>351</v>
      </c>
      <c r="F222" s="154"/>
      <c r="G222" s="239">
        <v>15</v>
      </c>
      <c r="H222" s="162">
        <v>3679</v>
      </c>
      <c r="I222" s="153">
        <v>2</v>
      </c>
      <c r="J222" s="304" t="s">
        <v>77</v>
      </c>
      <c r="K222" s="163">
        <v>1</v>
      </c>
      <c r="L222" s="163">
        <v>0</v>
      </c>
      <c r="M222" s="425">
        <f t="shared" si="57"/>
        <v>2759.25</v>
      </c>
      <c r="N222" s="426">
        <f t="shared" si="58"/>
        <v>2897.2125</v>
      </c>
      <c r="O222" s="426">
        <f t="shared" si="59"/>
        <v>154518</v>
      </c>
      <c r="P222" s="161">
        <v>1</v>
      </c>
      <c r="Q222" s="162">
        <v>1</v>
      </c>
      <c r="R222" s="162">
        <f t="shared" si="53"/>
        <v>1012500</v>
      </c>
      <c r="S222" s="162">
        <f t="shared" si="54"/>
        <v>1012500</v>
      </c>
      <c r="T222" s="161">
        <f t="shared" si="55"/>
        <v>0</v>
      </c>
      <c r="U222" s="153">
        <f t="shared" si="56"/>
        <v>1012500</v>
      </c>
    </row>
    <row r="223" spans="1:21" s="47" customFormat="1" ht="21.75" customHeight="1">
      <c r="A223" s="237">
        <v>64</v>
      </c>
      <c r="B223" s="214" t="s">
        <v>46</v>
      </c>
      <c r="C223" s="408" t="s">
        <v>290</v>
      </c>
      <c r="D223" s="280" t="s">
        <v>291</v>
      </c>
      <c r="E223" s="150" t="s">
        <v>114</v>
      </c>
      <c r="F223" s="154"/>
      <c r="G223" s="161">
        <v>15</v>
      </c>
      <c r="H223" s="162">
        <v>3549</v>
      </c>
      <c r="I223" s="153">
        <v>4</v>
      </c>
      <c r="J223" s="304" t="s">
        <v>50</v>
      </c>
      <c r="K223" s="163">
        <v>1</v>
      </c>
      <c r="L223" s="163">
        <v>0</v>
      </c>
      <c r="M223" s="425">
        <f t="shared" si="57"/>
        <v>2661.75</v>
      </c>
      <c r="N223" s="426">
        <f t="shared" si="58"/>
        <v>2794.8375</v>
      </c>
      <c r="O223" s="426">
        <f t="shared" si="59"/>
        <v>149058</v>
      </c>
      <c r="P223" s="161">
        <v>1</v>
      </c>
      <c r="Q223" s="162">
        <v>1</v>
      </c>
      <c r="R223" s="162">
        <f t="shared" si="53"/>
        <v>1012500</v>
      </c>
      <c r="S223" s="162">
        <f t="shared" si="54"/>
        <v>1012500</v>
      </c>
      <c r="T223" s="161">
        <f t="shared" si="55"/>
        <v>0</v>
      </c>
      <c r="U223" s="153">
        <f t="shared" si="56"/>
        <v>1012500</v>
      </c>
    </row>
    <row r="224" spans="1:21" s="47" customFormat="1" ht="21.75" customHeight="1">
      <c r="A224" s="237">
        <v>65</v>
      </c>
      <c r="B224" s="214" t="s">
        <v>17</v>
      </c>
      <c r="C224" s="408" t="s">
        <v>277</v>
      </c>
      <c r="D224" s="280" t="s">
        <v>278</v>
      </c>
      <c r="E224" s="150" t="s">
        <v>1207</v>
      </c>
      <c r="F224" s="150" t="s">
        <v>1124</v>
      </c>
      <c r="G224" s="161">
        <v>12</v>
      </c>
      <c r="H224" s="162">
        <v>400</v>
      </c>
      <c r="I224" s="153">
        <v>2</v>
      </c>
      <c r="J224" s="304" t="s">
        <v>77</v>
      </c>
      <c r="K224" s="163">
        <v>1</v>
      </c>
      <c r="L224" s="163">
        <v>0</v>
      </c>
      <c r="M224" s="425">
        <f t="shared" si="57"/>
        <v>240</v>
      </c>
      <c r="N224" s="426">
        <f t="shared" si="58"/>
        <v>252</v>
      </c>
      <c r="O224" s="426">
        <f t="shared" si="59"/>
        <v>13440</v>
      </c>
      <c r="P224" s="161">
        <v>1</v>
      </c>
      <c r="Q224" s="162">
        <v>1</v>
      </c>
      <c r="R224" s="162">
        <f t="shared" si="53"/>
        <v>1012500</v>
      </c>
      <c r="S224" s="162">
        <f t="shared" si="54"/>
        <v>1012500</v>
      </c>
      <c r="T224" s="161">
        <f t="shared" si="55"/>
        <v>0</v>
      </c>
      <c r="U224" s="153">
        <f t="shared" si="56"/>
        <v>1012500</v>
      </c>
    </row>
    <row r="225" spans="1:21" s="47" customFormat="1" ht="21.75" customHeight="1">
      <c r="A225" s="237">
        <v>66</v>
      </c>
      <c r="B225" s="214" t="s">
        <v>46</v>
      </c>
      <c r="C225" s="409" t="s">
        <v>1062</v>
      </c>
      <c r="D225" s="296" t="s">
        <v>321</v>
      </c>
      <c r="E225" s="150" t="s">
        <v>351</v>
      </c>
      <c r="F225" s="150"/>
      <c r="G225" s="239">
        <v>9</v>
      </c>
      <c r="H225" s="162">
        <v>750</v>
      </c>
      <c r="I225" s="153">
        <v>2</v>
      </c>
      <c r="J225" s="304" t="s">
        <v>62</v>
      </c>
      <c r="K225" s="163">
        <v>1</v>
      </c>
      <c r="L225" s="163">
        <v>0</v>
      </c>
      <c r="M225" s="82">
        <f>30%*(H225*G225/5)+70%*(H225*G225*5/100)</f>
        <v>641.25</v>
      </c>
      <c r="N225" s="82">
        <f>30%*(H225*G225/5*0.15*5.5)+70%*(H225*G225*5/100*0.15*7)</f>
        <v>582.1875</v>
      </c>
      <c r="O225" s="82">
        <f>(30%*(G225*H225/5*6.6*5.5)+(G225*H225/5*0.15*5.5*2))+70%*(G225*H225*5/100*6.6*7)+(G225*H225*5/100*0.15*7*2)</f>
        <v>28552.5</v>
      </c>
      <c r="P225" s="161">
        <v>1</v>
      </c>
      <c r="Q225" s="162">
        <v>1</v>
      </c>
      <c r="R225" s="162">
        <f aca="true" t="shared" si="61" ref="R225:R251">45*$R$2</f>
        <v>1012500</v>
      </c>
      <c r="S225" s="162">
        <f aca="true" t="shared" si="62" ref="S225:S254">R225*Q225*P225*K225</f>
        <v>1012500</v>
      </c>
      <c r="T225" s="161">
        <f aca="true" t="shared" si="63" ref="T225:T254">L225*P225*Q225*R225</f>
        <v>0</v>
      </c>
      <c r="U225" s="153">
        <f aca="true" t="shared" si="64" ref="U225:U254">S225+T225</f>
        <v>1012500</v>
      </c>
    </row>
    <row r="226" spans="1:21" s="47" customFormat="1" ht="21.75" customHeight="1">
      <c r="A226" s="237">
        <v>67</v>
      </c>
      <c r="B226" s="214" t="s">
        <v>46</v>
      </c>
      <c r="C226" s="409" t="s">
        <v>1061</v>
      </c>
      <c r="D226" s="296" t="s">
        <v>321</v>
      </c>
      <c r="E226" s="150" t="s">
        <v>351</v>
      </c>
      <c r="F226" s="150"/>
      <c r="G226" s="239">
        <v>9</v>
      </c>
      <c r="H226" s="162">
        <v>750</v>
      </c>
      <c r="I226" s="153">
        <v>2</v>
      </c>
      <c r="J226" s="304" t="s">
        <v>62</v>
      </c>
      <c r="K226" s="163">
        <v>1</v>
      </c>
      <c r="L226" s="163">
        <v>0</v>
      </c>
      <c r="M226" s="425">
        <f>G226*H226/5</f>
        <v>1350</v>
      </c>
      <c r="N226" s="426">
        <f>M226*0.15*5.5</f>
        <v>1113.75</v>
      </c>
      <c r="O226" s="426">
        <f>M226*7.7*5.5+N226*2</f>
        <v>59400</v>
      </c>
      <c r="P226" s="161">
        <v>1</v>
      </c>
      <c r="Q226" s="162">
        <v>1</v>
      </c>
      <c r="R226" s="162">
        <f t="shared" si="61"/>
        <v>1012500</v>
      </c>
      <c r="S226" s="162">
        <f t="shared" si="62"/>
        <v>1012500</v>
      </c>
      <c r="T226" s="161">
        <f t="shared" si="63"/>
        <v>0</v>
      </c>
      <c r="U226" s="153">
        <f t="shared" si="64"/>
        <v>1012500</v>
      </c>
    </row>
    <row r="227" spans="1:21" s="46" customFormat="1" ht="21.75" customHeight="1">
      <c r="A227" s="237">
        <v>68</v>
      </c>
      <c r="B227" s="214" t="s">
        <v>46</v>
      </c>
      <c r="C227" s="408" t="s">
        <v>1102</v>
      </c>
      <c r="D227" s="280" t="s">
        <v>958</v>
      </c>
      <c r="E227" s="150" t="s">
        <v>351</v>
      </c>
      <c r="F227" s="150"/>
      <c r="G227" s="161">
        <v>8</v>
      </c>
      <c r="H227" s="162">
        <v>1200</v>
      </c>
      <c r="I227" s="153">
        <v>2</v>
      </c>
      <c r="J227" s="304" t="s">
        <v>62</v>
      </c>
      <c r="K227" s="163">
        <v>1</v>
      </c>
      <c r="L227" s="163">
        <v>0</v>
      </c>
      <c r="M227" s="425">
        <f aca="true" t="shared" si="65" ref="M227:M263">G227*H227*5/100</f>
        <v>480</v>
      </c>
      <c r="N227" s="426">
        <f t="shared" si="58"/>
        <v>504</v>
      </c>
      <c r="O227" s="426">
        <f t="shared" si="59"/>
        <v>26880</v>
      </c>
      <c r="P227" s="161">
        <v>1</v>
      </c>
      <c r="Q227" s="162">
        <v>1</v>
      </c>
      <c r="R227" s="162">
        <f t="shared" si="61"/>
        <v>1012500</v>
      </c>
      <c r="S227" s="162">
        <f t="shared" si="62"/>
        <v>1012500</v>
      </c>
      <c r="T227" s="161">
        <f t="shared" si="63"/>
        <v>0</v>
      </c>
      <c r="U227" s="153">
        <f t="shared" si="64"/>
        <v>1012500</v>
      </c>
    </row>
    <row r="228" spans="1:21" s="46" customFormat="1" ht="21.75" customHeight="1">
      <c r="A228" s="237">
        <v>69</v>
      </c>
      <c r="B228" s="214" t="s">
        <v>46</v>
      </c>
      <c r="C228" s="408" t="s">
        <v>1103</v>
      </c>
      <c r="D228" s="280" t="s">
        <v>958</v>
      </c>
      <c r="E228" s="150" t="s">
        <v>351</v>
      </c>
      <c r="F228" s="150"/>
      <c r="G228" s="161">
        <v>8</v>
      </c>
      <c r="H228" s="162">
        <v>1200</v>
      </c>
      <c r="I228" s="153">
        <v>2</v>
      </c>
      <c r="J228" s="304" t="s">
        <v>62</v>
      </c>
      <c r="K228" s="163">
        <v>1</v>
      </c>
      <c r="L228" s="163">
        <v>0</v>
      </c>
      <c r="M228" s="425">
        <f t="shared" si="65"/>
        <v>480</v>
      </c>
      <c r="N228" s="426">
        <f t="shared" si="58"/>
        <v>504</v>
      </c>
      <c r="O228" s="426">
        <f t="shared" si="59"/>
        <v>26880</v>
      </c>
      <c r="P228" s="161">
        <v>1</v>
      </c>
      <c r="Q228" s="162">
        <v>1</v>
      </c>
      <c r="R228" s="162">
        <f t="shared" si="61"/>
        <v>1012500</v>
      </c>
      <c r="S228" s="162">
        <f t="shared" si="62"/>
        <v>1012500</v>
      </c>
      <c r="T228" s="161">
        <f t="shared" si="63"/>
        <v>0</v>
      </c>
      <c r="U228" s="153">
        <f t="shared" si="64"/>
        <v>1012500</v>
      </c>
    </row>
    <row r="229" spans="1:21" s="46" customFormat="1" ht="21.75" customHeight="1">
      <c r="A229" s="237">
        <v>70</v>
      </c>
      <c r="B229" s="214" t="s">
        <v>46</v>
      </c>
      <c r="C229" s="408" t="s">
        <v>1104</v>
      </c>
      <c r="D229" s="280" t="s">
        <v>958</v>
      </c>
      <c r="E229" s="150" t="s">
        <v>351</v>
      </c>
      <c r="F229" s="150"/>
      <c r="G229" s="161">
        <v>8</v>
      </c>
      <c r="H229" s="162">
        <v>1200</v>
      </c>
      <c r="I229" s="153">
        <v>2</v>
      </c>
      <c r="J229" s="304" t="s">
        <v>62</v>
      </c>
      <c r="K229" s="163">
        <v>1</v>
      </c>
      <c r="L229" s="163">
        <v>0</v>
      </c>
      <c r="M229" s="425">
        <f t="shared" si="65"/>
        <v>480</v>
      </c>
      <c r="N229" s="426">
        <f>M229*0.15*7</f>
        <v>504</v>
      </c>
      <c r="O229" s="426">
        <f>M229*7.7*7+N229*2</f>
        <v>26880</v>
      </c>
      <c r="P229" s="161">
        <v>1</v>
      </c>
      <c r="Q229" s="162">
        <v>1</v>
      </c>
      <c r="R229" s="162">
        <f t="shared" si="61"/>
        <v>1012500</v>
      </c>
      <c r="S229" s="162">
        <f t="shared" si="62"/>
        <v>1012500</v>
      </c>
      <c r="T229" s="161">
        <f t="shared" si="63"/>
        <v>0</v>
      </c>
      <c r="U229" s="153">
        <f t="shared" si="64"/>
        <v>1012500</v>
      </c>
    </row>
    <row r="230" spans="1:21" s="46" customFormat="1" ht="21.75" customHeight="1">
      <c r="A230" s="237">
        <v>71</v>
      </c>
      <c r="B230" s="214" t="s">
        <v>46</v>
      </c>
      <c r="C230" s="408" t="s">
        <v>1105</v>
      </c>
      <c r="D230" s="280" t="s">
        <v>958</v>
      </c>
      <c r="E230" s="150" t="s">
        <v>351</v>
      </c>
      <c r="F230" s="150"/>
      <c r="G230" s="161">
        <v>8</v>
      </c>
      <c r="H230" s="162">
        <v>1200</v>
      </c>
      <c r="I230" s="153">
        <v>2</v>
      </c>
      <c r="J230" s="304" t="s">
        <v>62</v>
      </c>
      <c r="K230" s="163">
        <v>1</v>
      </c>
      <c r="L230" s="163"/>
      <c r="M230" s="425">
        <f t="shared" si="65"/>
        <v>480</v>
      </c>
      <c r="N230" s="426">
        <f>M230*0.15*7</f>
        <v>504</v>
      </c>
      <c r="O230" s="426">
        <f>M230*7.7*7+N230*2</f>
        <v>26880</v>
      </c>
      <c r="P230" s="161">
        <v>1</v>
      </c>
      <c r="Q230" s="162">
        <v>1</v>
      </c>
      <c r="R230" s="162">
        <f t="shared" si="61"/>
        <v>1012500</v>
      </c>
      <c r="S230" s="162">
        <f t="shared" si="62"/>
        <v>1012500</v>
      </c>
      <c r="T230" s="161">
        <f t="shared" si="63"/>
        <v>0</v>
      </c>
      <c r="U230" s="153">
        <f t="shared" si="64"/>
        <v>1012500</v>
      </c>
    </row>
    <row r="231" spans="1:21" s="46" customFormat="1" ht="21.75" customHeight="1">
      <c r="A231" s="237">
        <v>72</v>
      </c>
      <c r="B231" s="214" t="s">
        <v>46</v>
      </c>
      <c r="C231" s="408" t="s">
        <v>1106</v>
      </c>
      <c r="D231" s="280" t="s">
        <v>958</v>
      </c>
      <c r="E231" s="150" t="s">
        <v>351</v>
      </c>
      <c r="F231" s="150"/>
      <c r="G231" s="161">
        <v>8</v>
      </c>
      <c r="H231" s="162">
        <v>1200</v>
      </c>
      <c r="I231" s="153">
        <v>2</v>
      </c>
      <c r="J231" s="304" t="s">
        <v>62</v>
      </c>
      <c r="K231" s="163">
        <v>1</v>
      </c>
      <c r="L231" s="163"/>
      <c r="M231" s="425">
        <f t="shared" si="65"/>
        <v>480</v>
      </c>
      <c r="N231" s="426">
        <f>M231*0.15*7</f>
        <v>504</v>
      </c>
      <c r="O231" s="426">
        <f>M231*7.7*7+N231*2</f>
        <v>26880</v>
      </c>
      <c r="P231" s="161">
        <v>1</v>
      </c>
      <c r="Q231" s="162">
        <v>1</v>
      </c>
      <c r="R231" s="162">
        <f t="shared" si="61"/>
        <v>1012500</v>
      </c>
      <c r="S231" s="162">
        <f t="shared" si="62"/>
        <v>1012500</v>
      </c>
      <c r="T231" s="161">
        <f t="shared" si="63"/>
        <v>0</v>
      </c>
      <c r="U231" s="153">
        <f t="shared" si="64"/>
        <v>1012500</v>
      </c>
    </row>
    <row r="232" spans="1:21" s="47" customFormat="1" ht="21.75" customHeight="1">
      <c r="A232" s="237">
        <v>73</v>
      </c>
      <c r="B232" s="214" t="s">
        <v>46</v>
      </c>
      <c r="C232" s="409" t="s">
        <v>322</v>
      </c>
      <c r="D232" s="281" t="s">
        <v>323</v>
      </c>
      <c r="E232" s="150" t="s">
        <v>193</v>
      </c>
      <c r="F232" s="150"/>
      <c r="G232" s="239">
        <v>11</v>
      </c>
      <c r="H232" s="162">
        <v>600</v>
      </c>
      <c r="I232" s="153">
        <v>2</v>
      </c>
      <c r="J232" s="304" t="s">
        <v>62</v>
      </c>
      <c r="K232" s="163">
        <v>1</v>
      </c>
      <c r="L232" s="163">
        <v>0</v>
      </c>
      <c r="M232" s="425">
        <f t="shared" si="65"/>
        <v>330</v>
      </c>
      <c r="N232" s="426">
        <f>M232*0.15*7</f>
        <v>346.5</v>
      </c>
      <c r="O232" s="426">
        <f>M232*7.7*7+N232*2</f>
        <v>18480</v>
      </c>
      <c r="P232" s="161">
        <v>1</v>
      </c>
      <c r="Q232" s="162">
        <v>1</v>
      </c>
      <c r="R232" s="162">
        <f t="shared" si="61"/>
        <v>1012500</v>
      </c>
      <c r="S232" s="162">
        <f t="shared" si="62"/>
        <v>1012500</v>
      </c>
      <c r="T232" s="161">
        <f t="shared" si="63"/>
        <v>0</v>
      </c>
      <c r="U232" s="153">
        <f t="shared" si="64"/>
        <v>1012500</v>
      </c>
    </row>
    <row r="233" spans="1:21" s="47" customFormat="1" ht="21.75" customHeight="1">
      <c r="A233" s="237">
        <v>74</v>
      </c>
      <c r="B233" s="214" t="s">
        <v>46</v>
      </c>
      <c r="C233" s="409" t="s">
        <v>324</v>
      </c>
      <c r="D233" s="281" t="s">
        <v>323</v>
      </c>
      <c r="E233" s="150" t="s">
        <v>193</v>
      </c>
      <c r="F233" s="150"/>
      <c r="G233" s="239">
        <v>11</v>
      </c>
      <c r="H233" s="162">
        <v>600</v>
      </c>
      <c r="I233" s="153">
        <v>2</v>
      </c>
      <c r="J233" s="304" t="s">
        <v>62</v>
      </c>
      <c r="K233" s="163">
        <v>1</v>
      </c>
      <c r="L233" s="163">
        <v>0</v>
      </c>
      <c r="M233" s="425">
        <f t="shared" si="65"/>
        <v>330</v>
      </c>
      <c r="N233" s="426">
        <f>M233*0.15*7</f>
        <v>346.5</v>
      </c>
      <c r="O233" s="426">
        <f>M233*7.7*7+N233*2</f>
        <v>18480</v>
      </c>
      <c r="P233" s="161">
        <v>1</v>
      </c>
      <c r="Q233" s="162">
        <v>1</v>
      </c>
      <c r="R233" s="162">
        <f t="shared" si="61"/>
        <v>1012500</v>
      </c>
      <c r="S233" s="162">
        <f t="shared" si="62"/>
        <v>1012500</v>
      </c>
      <c r="T233" s="161">
        <f t="shared" si="63"/>
        <v>0</v>
      </c>
      <c r="U233" s="153">
        <f t="shared" si="64"/>
        <v>1012500</v>
      </c>
    </row>
    <row r="234" spans="1:21" s="47" customFormat="1" ht="21.75" customHeight="1">
      <c r="A234" s="237">
        <v>75</v>
      </c>
      <c r="B234" s="214" t="s">
        <v>46</v>
      </c>
      <c r="C234" s="409" t="s">
        <v>325</v>
      </c>
      <c r="D234" s="281" t="s">
        <v>326</v>
      </c>
      <c r="E234" s="150" t="s">
        <v>163</v>
      </c>
      <c r="F234" s="150"/>
      <c r="G234" s="239">
        <v>12</v>
      </c>
      <c r="H234" s="162">
        <v>750</v>
      </c>
      <c r="I234" s="153">
        <v>1</v>
      </c>
      <c r="J234" s="304" t="s">
        <v>77</v>
      </c>
      <c r="K234" s="163">
        <v>1</v>
      </c>
      <c r="L234" s="163">
        <v>0</v>
      </c>
      <c r="M234" s="425">
        <f t="shared" si="65"/>
        <v>450</v>
      </c>
      <c r="N234" s="426">
        <f t="shared" si="58"/>
        <v>472.5</v>
      </c>
      <c r="O234" s="426">
        <f t="shared" si="59"/>
        <v>25200</v>
      </c>
      <c r="P234" s="161">
        <v>1</v>
      </c>
      <c r="Q234" s="162">
        <v>1</v>
      </c>
      <c r="R234" s="162">
        <f t="shared" si="61"/>
        <v>1012500</v>
      </c>
      <c r="S234" s="162">
        <f t="shared" si="62"/>
        <v>1012500</v>
      </c>
      <c r="T234" s="161">
        <f t="shared" si="63"/>
        <v>0</v>
      </c>
      <c r="U234" s="153">
        <f t="shared" si="64"/>
        <v>1012500</v>
      </c>
    </row>
    <row r="235" spans="1:21" s="47" customFormat="1" ht="21.75" customHeight="1">
      <c r="A235" s="237">
        <v>76</v>
      </c>
      <c r="B235" s="214" t="s">
        <v>46</v>
      </c>
      <c r="C235" s="409" t="s">
        <v>327</v>
      </c>
      <c r="D235" s="281" t="s">
        <v>326</v>
      </c>
      <c r="E235" s="150" t="s">
        <v>163</v>
      </c>
      <c r="F235" s="150"/>
      <c r="G235" s="239">
        <v>12</v>
      </c>
      <c r="H235" s="162">
        <v>750</v>
      </c>
      <c r="I235" s="153">
        <v>1</v>
      </c>
      <c r="J235" s="304" t="s">
        <v>77</v>
      </c>
      <c r="K235" s="163">
        <v>1</v>
      </c>
      <c r="L235" s="163">
        <v>0</v>
      </c>
      <c r="M235" s="425">
        <f t="shared" si="65"/>
        <v>450</v>
      </c>
      <c r="N235" s="426">
        <f t="shared" si="58"/>
        <v>472.5</v>
      </c>
      <c r="O235" s="426">
        <f t="shared" si="59"/>
        <v>25200</v>
      </c>
      <c r="P235" s="161">
        <v>1</v>
      </c>
      <c r="Q235" s="162">
        <v>1</v>
      </c>
      <c r="R235" s="162">
        <f t="shared" si="61"/>
        <v>1012500</v>
      </c>
      <c r="S235" s="162">
        <f t="shared" si="62"/>
        <v>1012500</v>
      </c>
      <c r="T235" s="161">
        <f t="shared" si="63"/>
        <v>0</v>
      </c>
      <c r="U235" s="153">
        <f t="shared" si="64"/>
        <v>1012500</v>
      </c>
    </row>
    <row r="236" spans="1:21" s="47" customFormat="1" ht="21.75" customHeight="1">
      <c r="A236" s="237">
        <v>77</v>
      </c>
      <c r="B236" s="214" t="s">
        <v>46</v>
      </c>
      <c r="C236" s="409" t="s">
        <v>776</v>
      </c>
      <c r="D236" s="281" t="s">
        <v>328</v>
      </c>
      <c r="E236" s="150" t="s">
        <v>329</v>
      </c>
      <c r="F236" s="150"/>
      <c r="G236" s="239">
        <v>18</v>
      </c>
      <c r="H236" s="162">
        <v>1750</v>
      </c>
      <c r="I236" s="153">
        <v>2</v>
      </c>
      <c r="J236" s="304" t="s">
        <v>77</v>
      </c>
      <c r="K236" s="163">
        <v>1</v>
      </c>
      <c r="L236" s="163">
        <v>0</v>
      </c>
      <c r="M236" s="425">
        <f t="shared" si="65"/>
        <v>1575</v>
      </c>
      <c r="N236" s="426">
        <f t="shared" si="58"/>
        <v>1653.75</v>
      </c>
      <c r="O236" s="426">
        <f t="shared" si="59"/>
        <v>88200</v>
      </c>
      <c r="P236" s="161">
        <v>1</v>
      </c>
      <c r="Q236" s="162">
        <v>1</v>
      </c>
      <c r="R236" s="162">
        <f t="shared" si="61"/>
        <v>1012500</v>
      </c>
      <c r="S236" s="162">
        <f t="shared" si="62"/>
        <v>1012500</v>
      </c>
      <c r="T236" s="161">
        <f t="shared" si="63"/>
        <v>0</v>
      </c>
      <c r="U236" s="153">
        <f t="shared" si="64"/>
        <v>1012500</v>
      </c>
    </row>
    <row r="237" spans="1:21" s="47" customFormat="1" ht="21.75" customHeight="1">
      <c r="A237" s="237">
        <v>78</v>
      </c>
      <c r="B237" s="214" t="s">
        <v>46</v>
      </c>
      <c r="C237" s="409" t="s">
        <v>871</v>
      </c>
      <c r="D237" s="281" t="s">
        <v>328</v>
      </c>
      <c r="E237" s="150" t="s">
        <v>329</v>
      </c>
      <c r="F237" s="150"/>
      <c r="G237" s="239">
        <v>18</v>
      </c>
      <c r="H237" s="162">
        <v>1750</v>
      </c>
      <c r="I237" s="153">
        <v>2</v>
      </c>
      <c r="J237" s="304" t="s">
        <v>77</v>
      </c>
      <c r="K237" s="163">
        <v>1</v>
      </c>
      <c r="L237" s="163">
        <v>0</v>
      </c>
      <c r="M237" s="425">
        <f t="shared" si="65"/>
        <v>1575</v>
      </c>
      <c r="N237" s="426">
        <f t="shared" si="58"/>
        <v>1653.75</v>
      </c>
      <c r="O237" s="426">
        <f t="shared" si="59"/>
        <v>88200</v>
      </c>
      <c r="P237" s="161">
        <v>1</v>
      </c>
      <c r="Q237" s="162">
        <v>1</v>
      </c>
      <c r="R237" s="162">
        <f t="shared" si="61"/>
        <v>1012500</v>
      </c>
      <c r="S237" s="162">
        <f t="shared" si="62"/>
        <v>1012500</v>
      </c>
      <c r="T237" s="161">
        <f t="shared" si="63"/>
        <v>0</v>
      </c>
      <c r="U237" s="153">
        <f t="shared" si="64"/>
        <v>1012500</v>
      </c>
    </row>
    <row r="238" spans="1:21" s="47" customFormat="1" ht="21.75" customHeight="1">
      <c r="A238" s="237">
        <v>79</v>
      </c>
      <c r="B238" s="214" t="s">
        <v>46</v>
      </c>
      <c r="C238" s="409" t="s">
        <v>330</v>
      </c>
      <c r="D238" s="281" t="s">
        <v>331</v>
      </c>
      <c r="E238" s="150" t="s">
        <v>332</v>
      </c>
      <c r="F238" s="150"/>
      <c r="G238" s="239">
        <v>13</v>
      </c>
      <c r="H238" s="162">
        <v>400</v>
      </c>
      <c r="I238" s="153">
        <v>1</v>
      </c>
      <c r="J238" s="304" t="s">
        <v>62</v>
      </c>
      <c r="K238" s="163">
        <v>1</v>
      </c>
      <c r="L238" s="163">
        <v>0</v>
      </c>
      <c r="M238" s="425">
        <f t="shared" si="65"/>
        <v>260</v>
      </c>
      <c r="N238" s="426">
        <f t="shared" si="58"/>
        <v>273</v>
      </c>
      <c r="O238" s="426">
        <f t="shared" si="59"/>
        <v>14560</v>
      </c>
      <c r="P238" s="161">
        <v>1</v>
      </c>
      <c r="Q238" s="162">
        <v>1</v>
      </c>
      <c r="R238" s="162">
        <f t="shared" si="61"/>
        <v>1012500</v>
      </c>
      <c r="S238" s="162">
        <f t="shared" si="62"/>
        <v>1012500</v>
      </c>
      <c r="T238" s="161">
        <f t="shared" si="63"/>
        <v>0</v>
      </c>
      <c r="U238" s="153">
        <f t="shared" si="64"/>
        <v>1012500</v>
      </c>
    </row>
    <row r="239" spans="1:21" s="47" customFormat="1" ht="21.75" customHeight="1">
      <c r="A239" s="237">
        <v>80</v>
      </c>
      <c r="B239" s="214" t="s">
        <v>46</v>
      </c>
      <c r="C239" s="409" t="s">
        <v>333</v>
      </c>
      <c r="D239" s="297" t="s">
        <v>331</v>
      </c>
      <c r="E239" s="150" t="s">
        <v>332</v>
      </c>
      <c r="F239" s="150"/>
      <c r="G239" s="239">
        <v>13</v>
      </c>
      <c r="H239" s="162">
        <v>400</v>
      </c>
      <c r="I239" s="153">
        <v>1</v>
      </c>
      <c r="J239" s="304" t="s">
        <v>62</v>
      </c>
      <c r="K239" s="163">
        <v>1</v>
      </c>
      <c r="L239" s="163">
        <v>0</v>
      </c>
      <c r="M239" s="425">
        <f t="shared" si="65"/>
        <v>260</v>
      </c>
      <c r="N239" s="426">
        <f t="shared" si="58"/>
        <v>273</v>
      </c>
      <c r="O239" s="426">
        <f t="shared" si="59"/>
        <v>14560</v>
      </c>
      <c r="P239" s="161">
        <v>1</v>
      </c>
      <c r="Q239" s="162">
        <v>1</v>
      </c>
      <c r="R239" s="162">
        <f t="shared" si="61"/>
        <v>1012500</v>
      </c>
      <c r="S239" s="162">
        <f t="shared" si="62"/>
        <v>1012500</v>
      </c>
      <c r="T239" s="161">
        <f t="shared" si="63"/>
        <v>0</v>
      </c>
      <c r="U239" s="153">
        <f t="shared" si="64"/>
        <v>1012500</v>
      </c>
    </row>
    <row r="240" spans="1:21" s="47" customFormat="1" ht="21.75" customHeight="1">
      <c r="A240" s="237">
        <v>81</v>
      </c>
      <c r="B240" s="214" t="s">
        <v>46</v>
      </c>
      <c r="C240" s="409" t="s">
        <v>334</v>
      </c>
      <c r="D240" s="297" t="s">
        <v>331</v>
      </c>
      <c r="E240" s="150" t="s">
        <v>332</v>
      </c>
      <c r="F240" s="150"/>
      <c r="G240" s="239">
        <v>13</v>
      </c>
      <c r="H240" s="162">
        <v>400</v>
      </c>
      <c r="I240" s="153">
        <v>1</v>
      </c>
      <c r="J240" s="304" t="s">
        <v>62</v>
      </c>
      <c r="K240" s="163">
        <v>1</v>
      </c>
      <c r="L240" s="163">
        <v>0</v>
      </c>
      <c r="M240" s="425">
        <f t="shared" si="65"/>
        <v>260</v>
      </c>
      <c r="N240" s="426">
        <f t="shared" si="58"/>
        <v>273</v>
      </c>
      <c r="O240" s="426">
        <f t="shared" si="59"/>
        <v>14560</v>
      </c>
      <c r="P240" s="161">
        <v>1</v>
      </c>
      <c r="Q240" s="162">
        <v>1</v>
      </c>
      <c r="R240" s="162">
        <f t="shared" si="61"/>
        <v>1012500</v>
      </c>
      <c r="S240" s="162">
        <f t="shared" si="62"/>
        <v>1012500</v>
      </c>
      <c r="T240" s="161">
        <f t="shared" si="63"/>
        <v>0</v>
      </c>
      <c r="U240" s="153">
        <f t="shared" si="64"/>
        <v>1012500</v>
      </c>
    </row>
    <row r="241" spans="1:21" s="47" customFormat="1" ht="21.75" customHeight="1">
      <c r="A241" s="237">
        <v>82</v>
      </c>
      <c r="B241" s="214" t="s">
        <v>46</v>
      </c>
      <c r="C241" s="409" t="s">
        <v>336</v>
      </c>
      <c r="D241" s="297" t="s">
        <v>337</v>
      </c>
      <c r="E241" s="150" t="s">
        <v>338</v>
      </c>
      <c r="F241" s="150"/>
      <c r="G241" s="239">
        <v>12</v>
      </c>
      <c r="H241" s="162">
        <f>1700/2</f>
        <v>850</v>
      </c>
      <c r="I241" s="153">
        <v>2</v>
      </c>
      <c r="J241" s="304" t="s">
        <v>62</v>
      </c>
      <c r="K241" s="163">
        <v>1</v>
      </c>
      <c r="L241" s="163">
        <v>0</v>
      </c>
      <c r="M241" s="425">
        <f t="shared" si="65"/>
        <v>510</v>
      </c>
      <c r="N241" s="426">
        <f t="shared" si="58"/>
        <v>535.5</v>
      </c>
      <c r="O241" s="426">
        <f t="shared" si="59"/>
        <v>28560</v>
      </c>
      <c r="P241" s="161">
        <v>1</v>
      </c>
      <c r="Q241" s="162">
        <v>1</v>
      </c>
      <c r="R241" s="162">
        <f t="shared" si="61"/>
        <v>1012500</v>
      </c>
      <c r="S241" s="162">
        <f t="shared" si="62"/>
        <v>1012500</v>
      </c>
      <c r="T241" s="161">
        <f t="shared" si="63"/>
        <v>0</v>
      </c>
      <c r="U241" s="153">
        <f t="shared" si="64"/>
        <v>1012500</v>
      </c>
    </row>
    <row r="242" spans="1:21" s="47" customFormat="1" ht="21.75" customHeight="1">
      <c r="A242" s="237">
        <v>83</v>
      </c>
      <c r="B242" s="214" t="s">
        <v>46</v>
      </c>
      <c r="C242" s="409" t="s">
        <v>339</v>
      </c>
      <c r="D242" s="297" t="s">
        <v>337</v>
      </c>
      <c r="E242" s="150" t="s">
        <v>338</v>
      </c>
      <c r="F242" s="150"/>
      <c r="G242" s="239">
        <v>12</v>
      </c>
      <c r="H242" s="162">
        <f>1700/2</f>
        <v>850</v>
      </c>
      <c r="I242" s="153">
        <v>2</v>
      </c>
      <c r="J242" s="304" t="s">
        <v>62</v>
      </c>
      <c r="K242" s="163">
        <v>1</v>
      </c>
      <c r="L242" s="163">
        <v>0</v>
      </c>
      <c r="M242" s="425">
        <f t="shared" si="65"/>
        <v>510</v>
      </c>
      <c r="N242" s="426">
        <f t="shared" si="58"/>
        <v>535.5</v>
      </c>
      <c r="O242" s="426">
        <f t="shared" si="59"/>
        <v>28560</v>
      </c>
      <c r="P242" s="161">
        <v>1</v>
      </c>
      <c r="Q242" s="162">
        <v>1</v>
      </c>
      <c r="R242" s="162">
        <f t="shared" si="61"/>
        <v>1012500</v>
      </c>
      <c r="S242" s="162">
        <f t="shared" si="62"/>
        <v>1012500</v>
      </c>
      <c r="T242" s="161">
        <f t="shared" si="63"/>
        <v>0</v>
      </c>
      <c r="U242" s="153">
        <f t="shared" si="64"/>
        <v>1012500</v>
      </c>
    </row>
    <row r="243" spans="1:21" s="47" customFormat="1" ht="21.75" customHeight="1">
      <c r="A243" s="237">
        <v>84</v>
      </c>
      <c r="B243" s="214" t="s">
        <v>46</v>
      </c>
      <c r="C243" s="409" t="s">
        <v>340</v>
      </c>
      <c r="D243" s="297" t="s">
        <v>337</v>
      </c>
      <c r="E243" s="150" t="s">
        <v>338</v>
      </c>
      <c r="F243" s="150"/>
      <c r="G243" s="239">
        <v>16</v>
      </c>
      <c r="H243" s="162">
        <f>2800/2</f>
        <v>1400</v>
      </c>
      <c r="I243" s="153">
        <v>2</v>
      </c>
      <c r="J243" s="304" t="s">
        <v>62</v>
      </c>
      <c r="K243" s="163">
        <v>1</v>
      </c>
      <c r="L243" s="163">
        <v>0</v>
      </c>
      <c r="M243" s="425">
        <f t="shared" si="65"/>
        <v>1120</v>
      </c>
      <c r="N243" s="426">
        <f t="shared" si="58"/>
        <v>1176</v>
      </c>
      <c r="O243" s="426">
        <f t="shared" si="59"/>
        <v>62720</v>
      </c>
      <c r="P243" s="161">
        <v>1</v>
      </c>
      <c r="Q243" s="162">
        <v>1</v>
      </c>
      <c r="R243" s="162">
        <f t="shared" si="61"/>
        <v>1012500</v>
      </c>
      <c r="S243" s="162">
        <f t="shared" si="62"/>
        <v>1012500</v>
      </c>
      <c r="T243" s="161">
        <f t="shared" si="63"/>
        <v>0</v>
      </c>
      <c r="U243" s="153">
        <f t="shared" si="64"/>
        <v>1012500</v>
      </c>
    </row>
    <row r="244" spans="1:21" s="47" customFormat="1" ht="21.75" customHeight="1">
      <c r="A244" s="237">
        <v>85</v>
      </c>
      <c r="B244" s="214" t="s">
        <v>46</v>
      </c>
      <c r="C244" s="409" t="s">
        <v>341</v>
      </c>
      <c r="D244" s="297" t="s">
        <v>337</v>
      </c>
      <c r="E244" s="150" t="s">
        <v>338</v>
      </c>
      <c r="F244" s="150"/>
      <c r="G244" s="239">
        <v>16</v>
      </c>
      <c r="H244" s="162">
        <f>2800/2</f>
        <v>1400</v>
      </c>
      <c r="I244" s="153">
        <v>2</v>
      </c>
      <c r="J244" s="304" t="s">
        <v>62</v>
      </c>
      <c r="K244" s="163">
        <v>1</v>
      </c>
      <c r="L244" s="163">
        <v>0</v>
      </c>
      <c r="M244" s="425">
        <f t="shared" si="65"/>
        <v>1120</v>
      </c>
      <c r="N244" s="426">
        <f t="shared" si="58"/>
        <v>1176</v>
      </c>
      <c r="O244" s="426">
        <f t="shared" si="59"/>
        <v>62720</v>
      </c>
      <c r="P244" s="161">
        <v>1</v>
      </c>
      <c r="Q244" s="162">
        <v>1</v>
      </c>
      <c r="R244" s="162">
        <f t="shared" si="61"/>
        <v>1012500</v>
      </c>
      <c r="S244" s="162">
        <f t="shared" si="62"/>
        <v>1012500</v>
      </c>
      <c r="T244" s="161">
        <f t="shared" si="63"/>
        <v>0</v>
      </c>
      <c r="U244" s="153">
        <f t="shared" si="64"/>
        <v>1012500</v>
      </c>
    </row>
    <row r="245" spans="1:21" s="47" customFormat="1" ht="21.75" customHeight="1">
      <c r="A245" s="237">
        <v>86</v>
      </c>
      <c r="B245" s="214" t="s">
        <v>46</v>
      </c>
      <c r="C245" s="410" t="s">
        <v>342</v>
      </c>
      <c r="D245" s="297" t="s">
        <v>343</v>
      </c>
      <c r="E245" s="150" t="s">
        <v>147</v>
      </c>
      <c r="F245" s="150"/>
      <c r="G245" s="239">
        <v>15</v>
      </c>
      <c r="H245" s="162">
        <f>3700/3</f>
        <v>1233.3333333333333</v>
      </c>
      <c r="I245" s="153">
        <v>2</v>
      </c>
      <c r="J245" s="304" t="s">
        <v>77</v>
      </c>
      <c r="K245" s="163">
        <v>1</v>
      </c>
      <c r="L245" s="163">
        <v>0</v>
      </c>
      <c r="M245" s="425">
        <f t="shared" si="65"/>
        <v>925</v>
      </c>
      <c r="N245" s="426">
        <f t="shared" si="58"/>
        <v>971.25</v>
      </c>
      <c r="O245" s="426">
        <f t="shared" si="59"/>
        <v>51800</v>
      </c>
      <c r="P245" s="161">
        <v>1</v>
      </c>
      <c r="Q245" s="162">
        <v>1</v>
      </c>
      <c r="R245" s="162">
        <f t="shared" si="61"/>
        <v>1012500</v>
      </c>
      <c r="S245" s="162">
        <f t="shared" si="62"/>
        <v>1012500</v>
      </c>
      <c r="T245" s="161">
        <f t="shared" si="63"/>
        <v>0</v>
      </c>
      <c r="U245" s="153">
        <f t="shared" si="64"/>
        <v>1012500</v>
      </c>
    </row>
    <row r="246" spans="1:21" s="47" customFormat="1" ht="21.75" customHeight="1">
      <c r="A246" s="237">
        <v>87</v>
      </c>
      <c r="B246" s="214" t="s">
        <v>46</v>
      </c>
      <c r="C246" s="410" t="s">
        <v>344</v>
      </c>
      <c r="D246" s="297" t="s">
        <v>343</v>
      </c>
      <c r="E246" s="150" t="s">
        <v>147</v>
      </c>
      <c r="F246" s="150"/>
      <c r="G246" s="239">
        <v>15</v>
      </c>
      <c r="H246" s="162">
        <f>3700/3</f>
        <v>1233.3333333333333</v>
      </c>
      <c r="I246" s="153">
        <v>2</v>
      </c>
      <c r="J246" s="304" t="s">
        <v>77</v>
      </c>
      <c r="K246" s="163">
        <v>1</v>
      </c>
      <c r="L246" s="163">
        <v>0</v>
      </c>
      <c r="M246" s="425">
        <f t="shared" si="65"/>
        <v>925</v>
      </c>
      <c r="N246" s="426">
        <f t="shared" si="58"/>
        <v>971.25</v>
      </c>
      <c r="O246" s="426">
        <f t="shared" si="59"/>
        <v>51800</v>
      </c>
      <c r="P246" s="161">
        <v>1</v>
      </c>
      <c r="Q246" s="162">
        <v>1</v>
      </c>
      <c r="R246" s="162">
        <f t="shared" si="61"/>
        <v>1012500</v>
      </c>
      <c r="S246" s="162">
        <f t="shared" si="62"/>
        <v>1012500</v>
      </c>
      <c r="T246" s="161">
        <f t="shared" si="63"/>
        <v>0</v>
      </c>
      <c r="U246" s="153">
        <f t="shared" si="64"/>
        <v>1012500</v>
      </c>
    </row>
    <row r="247" spans="1:21" s="47" customFormat="1" ht="21.75" customHeight="1">
      <c r="A247" s="237">
        <v>88</v>
      </c>
      <c r="B247" s="214" t="s">
        <v>46</v>
      </c>
      <c r="C247" s="410" t="s">
        <v>345</v>
      </c>
      <c r="D247" s="297" t="s">
        <v>346</v>
      </c>
      <c r="E247" s="150" t="s">
        <v>335</v>
      </c>
      <c r="F247" s="150"/>
      <c r="G247" s="239">
        <v>14</v>
      </c>
      <c r="H247" s="162">
        <f>3500/3</f>
        <v>1166.6666666666667</v>
      </c>
      <c r="I247" s="153">
        <v>2</v>
      </c>
      <c r="J247" s="304" t="s">
        <v>62</v>
      </c>
      <c r="K247" s="163">
        <v>1</v>
      </c>
      <c r="L247" s="163">
        <v>0</v>
      </c>
      <c r="M247" s="425">
        <f t="shared" si="65"/>
        <v>816.6666666666667</v>
      </c>
      <c r="N247" s="426">
        <f t="shared" si="58"/>
        <v>857.5</v>
      </c>
      <c r="O247" s="426">
        <f t="shared" si="59"/>
        <v>45733.333333333336</v>
      </c>
      <c r="P247" s="161">
        <v>1</v>
      </c>
      <c r="Q247" s="162">
        <v>1</v>
      </c>
      <c r="R247" s="162">
        <f t="shared" si="61"/>
        <v>1012500</v>
      </c>
      <c r="S247" s="162">
        <f t="shared" si="62"/>
        <v>1012500</v>
      </c>
      <c r="T247" s="161">
        <f t="shared" si="63"/>
        <v>0</v>
      </c>
      <c r="U247" s="153">
        <f t="shared" si="64"/>
        <v>1012500</v>
      </c>
    </row>
    <row r="248" spans="1:21" s="47" customFormat="1" ht="21.75" customHeight="1">
      <c r="A248" s="237">
        <v>89</v>
      </c>
      <c r="B248" s="214" t="s">
        <v>46</v>
      </c>
      <c r="C248" s="410" t="s">
        <v>347</v>
      </c>
      <c r="D248" s="297" t="s">
        <v>346</v>
      </c>
      <c r="E248" s="150" t="s">
        <v>335</v>
      </c>
      <c r="F248" s="150"/>
      <c r="G248" s="239">
        <v>14</v>
      </c>
      <c r="H248" s="162">
        <f>3500/3</f>
        <v>1166.6666666666667</v>
      </c>
      <c r="I248" s="153">
        <v>2</v>
      </c>
      <c r="J248" s="304" t="s">
        <v>62</v>
      </c>
      <c r="K248" s="163">
        <v>1</v>
      </c>
      <c r="L248" s="163">
        <v>0</v>
      </c>
      <c r="M248" s="425">
        <f t="shared" si="65"/>
        <v>816.6666666666667</v>
      </c>
      <c r="N248" s="426">
        <f t="shared" si="58"/>
        <v>857.5</v>
      </c>
      <c r="O248" s="426">
        <f t="shared" si="59"/>
        <v>45733.333333333336</v>
      </c>
      <c r="P248" s="161">
        <v>1</v>
      </c>
      <c r="Q248" s="162">
        <v>1</v>
      </c>
      <c r="R248" s="162">
        <f t="shared" si="61"/>
        <v>1012500</v>
      </c>
      <c r="S248" s="162">
        <f t="shared" si="62"/>
        <v>1012500</v>
      </c>
      <c r="T248" s="161">
        <f t="shared" si="63"/>
        <v>0</v>
      </c>
      <c r="U248" s="153">
        <f t="shared" si="64"/>
        <v>1012500</v>
      </c>
    </row>
    <row r="249" spans="1:21" s="47" customFormat="1" ht="21.75" customHeight="1">
      <c r="A249" s="237">
        <v>90</v>
      </c>
      <c r="B249" s="214" t="s">
        <v>46</v>
      </c>
      <c r="C249" s="410" t="s">
        <v>348</v>
      </c>
      <c r="D249" s="297" t="s">
        <v>346</v>
      </c>
      <c r="E249" s="150" t="s">
        <v>335</v>
      </c>
      <c r="F249" s="150"/>
      <c r="G249" s="239">
        <v>14</v>
      </c>
      <c r="H249" s="162">
        <f>3500/3</f>
        <v>1166.6666666666667</v>
      </c>
      <c r="I249" s="153">
        <v>2</v>
      </c>
      <c r="J249" s="304" t="s">
        <v>62</v>
      </c>
      <c r="K249" s="163">
        <v>1</v>
      </c>
      <c r="L249" s="163">
        <v>0</v>
      </c>
      <c r="M249" s="425">
        <f t="shared" si="65"/>
        <v>816.6666666666667</v>
      </c>
      <c r="N249" s="426">
        <f t="shared" si="58"/>
        <v>857.5</v>
      </c>
      <c r="O249" s="426">
        <f t="shared" si="59"/>
        <v>45733.333333333336</v>
      </c>
      <c r="P249" s="161">
        <v>1</v>
      </c>
      <c r="Q249" s="162">
        <v>1</v>
      </c>
      <c r="R249" s="162">
        <f t="shared" si="61"/>
        <v>1012500</v>
      </c>
      <c r="S249" s="162">
        <f t="shared" si="62"/>
        <v>1012500</v>
      </c>
      <c r="T249" s="161">
        <f t="shared" si="63"/>
        <v>0</v>
      </c>
      <c r="U249" s="153">
        <f t="shared" si="64"/>
        <v>1012500</v>
      </c>
    </row>
    <row r="250" spans="1:21" s="47" customFormat="1" ht="21.75" customHeight="1">
      <c r="A250" s="237">
        <v>91</v>
      </c>
      <c r="B250" s="214" t="s">
        <v>46</v>
      </c>
      <c r="C250" s="409" t="s">
        <v>349</v>
      </c>
      <c r="D250" s="297" t="s">
        <v>350</v>
      </c>
      <c r="E250" s="150" t="s">
        <v>351</v>
      </c>
      <c r="F250" s="150"/>
      <c r="G250" s="239">
        <v>17</v>
      </c>
      <c r="H250" s="162">
        <f>4500/4</f>
        <v>1125</v>
      </c>
      <c r="I250" s="153">
        <v>2</v>
      </c>
      <c r="J250" s="304" t="s">
        <v>62</v>
      </c>
      <c r="K250" s="163">
        <v>1</v>
      </c>
      <c r="L250" s="163">
        <v>0</v>
      </c>
      <c r="M250" s="425">
        <f t="shared" si="65"/>
        <v>956.25</v>
      </c>
      <c r="N250" s="426">
        <f t="shared" si="58"/>
        <v>1004.0625</v>
      </c>
      <c r="O250" s="426">
        <f t="shared" si="59"/>
        <v>53550</v>
      </c>
      <c r="P250" s="161">
        <v>1</v>
      </c>
      <c r="Q250" s="162">
        <v>1</v>
      </c>
      <c r="R250" s="162">
        <f t="shared" si="61"/>
        <v>1012500</v>
      </c>
      <c r="S250" s="162">
        <f t="shared" si="62"/>
        <v>1012500</v>
      </c>
      <c r="T250" s="161">
        <f t="shared" si="63"/>
        <v>0</v>
      </c>
      <c r="U250" s="153">
        <f t="shared" si="64"/>
        <v>1012500</v>
      </c>
    </row>
    <row r="251" spans="1:21" s="47" customFormat="1" ht="21.75" customHeight="1">
      <c r="A251" s="237">
        <v>92</v>
      </c>
      <c r="B251" s="214" t="s">
        <v>46</v>
      </c>
      <c r="C251" s="409" t="s">
        <v>352</v>
      </c>
      <c r="D251" s="297" t="s">
        <v>350</v>
      </c>
      <c r="E251" s="150" t="s">
        <v>351</v>
      </c>
      <c r="F251" s="150"/>
      <c r="G251" s="239">
        <v>17</v>
      </c>
      <c r="H251" s="162">
        <f>4500/4</f>
        <v>1125</v>
      </c>
      <c r="I251" s="153">
        <v>2</v>
      </c>
      <c r="J251" s="304" t="s">
        <v>62</v>
      </c>
      <c r="K251" s="163">
        <v>1</v>
      </c>
      <c r="L251" s="163">
        <v>0</v>
      </c>
      <c r="M251" s="425">
        <f t="shared" si="65"/>
        <v>956.25</v>
      </c>
      <c r="N251" s="426">
        <f t="shared" si="58"/>
        <v>1004.0625</v>
      </c>
      <c r="O251" s="426">
        <f t="shared" si="59"/>
        <v>53550</v>
      </c>
      <c r="P251" s="161">
        <v>1</v>
      </c>
      <c r="Q251" s="162">
        <v>1</v>
      </c>
      <c r="R251" s="162">
        <f t="shared" si="61"/>
        <v>1012500</v>
      </c>
      <c r="S251" s="162">
        <f t="shared" si="62"/>
        <v>1012500</v>
      </c>
      <c r="T251" s="161">
        <f t="shared" si="63"/>
        <v>0</v>
      </c>
      <c r="U251" s="153">
        <f t="shared" si="64"/>
        <v>1012500</v>
      </c>
    </row>
    <row r="252" spans="1:21" s="47" customFormat="1" ht="21.75" customHeight="1">
      <c r="A252" s="237">
        <v>93</v>
      </c>
      <c r="B252" s="214" t="s">
        <v>46</v>
      </c>
      <c r="C252" s="409" t="s">
        <v>353</v>
      </c>
      <c r="D252" s="297" t="s">
        <v>350</v>
      </c>
      <c r="E252" s="150" t="s">
        <v>351</v>
      </c>
      <c r="F252" s="150"/>
      <c r="G252" s="239">
        <v>17</v>
      </c>
      <c r="H252" s="162">
        <f>4500/4</f>
        <v>1125</v>
      </c>
      <c r="I252" s="153">
        <v>2</v>
      </c>
      <c r="J252" s="304" t="s">
        <v>77</v>
      </c>
      <c r="K252" s="163">
        <v>1</v>
      </c>
      <c r="L252" s="163">
        <v>0</v>
      </c>
      <c r="M252" s="425">
        <f t="shared" si="65"/>
        <v>956.25</v>
      </c>
      <c r="N252" s="426">
        <f t="shared" si="58"/>
        <v>1004.0625</v>
      </c>
      <c r="O252" s="426">
        <f t="shared" si="59"/>
        <v>53550</v>
      </c>
      <c r="P252" s="161">
        <v>1</v>
      </c>
      <c r="Q252" s="162">
        <v>1</v>
      </c>
      <c r="R252" s="162">
        <f aca="true" t="shared" si="66" ref="R252:R282">45*$R$2</f>
        <v>1012500</v>
      </c>
      <c r="S252" s="162">
        <f t="shared" si="62"/>
        <v>1012500</v>
      </c>
      <c r="T252" s="161">
        <f t="shared" si="63"/>
        <v>0</v>
      </c>
      <c r="U252" s="153">
        <f t="shared" si="64"/>
        <v>1012500</v>
      </c>
    </row>
    <row r="253" spans="1:21" s="47" customFormat="1" ht="21.75" customHeight="1">
      <c r="A253" s="237">
        <v>94</v>
      </c>
      <c r="B253" s="214" t="s">
        <v>46</v>
      </c>
      <c r="C253" s="409" t="s">
        <v>354</v>
      </c>
      <c r="D253" s="297" t="s">
        <v>350</v>
      </c>
      <c r="E253" s="150" t="s">
        <v>351</v>
      </c>
      <c r="F253" s="150"/>
      <c r="G253" s="239">
        <v>17</v>
      </c>
      <c r="H253" s="162">
        <f>4500/4</f>
        <v>1125</v>
      </c>
      <c r="I253" s="153">
        <v>2</v>
      </c>
      <c r="J253" s="304" t="s">
        <v>77</v>
      </c>
      <c r="K253" s="163">
        <v>1</v>
      </c>
      <c r="L253" s="163">
        <v>0</v>
      </c>
      <c r="M253" s="425">
        <f t="shared" si="65"/>
        <v>956.25</v>
      </c>
      <c r="N253" s="426">
        <f t="shared" si="58"/>
        <v>1004.0625</v>
      </c>
      <c r="O253" s="426">
        <f t="shared" si="59"/>
        <v>53550</v>
      </c>
      <c r="P253" s="161">
        <v>1</v>
      </c>
      <c r="Q253" s="162">
        <v>1</v>
      </c>
      <c r="R253" s="162">
        <f t="shared" si="66"/>
        <v>1012500</v>
      </c>
      <c r="S253" s="162">
        <f t="shared" si="62"/>
        <v>1012500</v>
      </c>
      <c r="T253" s="161">
        <f t="shared" si="63"/>
        <v>0</v>
      </c>
      <c r="U253" s="153">
        <f t="shared" si="64"/>
        <v>1012500</v>
      </c>
    </row>
    <row r="254" spans="1:21" s="47" customFormat="1" ht="21.75" customHeight="1">
      <c r="A254" s="237">
        <v>95</v>
      </c>
      <c r="B254" s="214" t="s">
        <v>46</v>
      </c>
      <c r="C254" s="409" t="s">
        <v>355</v>
      </c>
      <c r="D254" s="281" t="s">
        <v>356</v>
      </c>
      <c r="E254" s="150" t="s">
        <v>20</v>
      </c>
      <c r="F254" s="150"/>
      <c r="G254" s="239">
        <v>14</v>
      </c>
      <c r="H254" s="162">
        <v>1250</v>
      </c>
      <c r="I254" s="153">
        <v>2</v>
      </c>
      <c r="J254" s="304" t="s">
        <v>77</v>
      </c>
      <c r="K254" s="163">
        <v>1</v>
      </c>
      <c r="L254" s="163">
        <v>0</v>
      </c>
      <c r="M254" s="425">
        <f t="shared" si="65"/>
        <v>875</v>
      </c>
      <c r="N254" s="426">
        <f t="shared" si="58"/>
        <v>918.75</v>
      </c>
      <c r="O254" s="426">
        <f t="shared" si="59"/>
        <v>49000</v>
      </c>
      <c r="P254" s="161">
        <v>1</v>
      </c>
      <c r="Q254" s="162">
        <v>1</v>
      </c>
      <c r="R254" s="162">
        <f t="shared" si="66"/>
        <v>1012500</v>
      </c>
      <c r="S254" s="162">
        <f t="shared" si="62"/>
        <v>1012500</v>
      </c>
      <c r="T254" s="161">
        <f t="shared" si="63"/>
        <v>0</v>
      </c>
      <c r="U254" s="153">
        <f t="shared" si="64"/>
        <v>1012500</v>
      </c>
    </row>
    <row r="255" spans="1:21" s="47" customFormat="1" ht="21.75" customHeight="1">
      <c r="A255" s="237">
        <v>96</v>
      </c>
      <c r="B255" s="214" t="s">
        <v>46</v>
      </c>
      <c r="C255" s="409" t="s">
        <v>357</v>
      </c>
      <c r="D255" s="281" t="s">
        <v>356</v>
      </c>
      <c r="E255" s="150" t="s">
        <v>20</v>
      </c>
      <c r="F255" s="150"/>
      <c r="G255" s="239">
        <v>14</v>
      </c>
      <c r="H255" s="162">
        <v>1250</v>
      </c>
      <c r="I255" s="153">
        <v>2</v>
      </c>
      <c r="J255" s="304" t="s">
        <v>77</v>
      </c>
      <c r="K255" s="163">
        <v>1</v>
      </c>
      <c r="L255" s="163">
        <v>0</v>
      </c>
      <c r="M255" s="425">
        <f t="shared" si="65"/>
        <v>875</v>
      </c>
      <c r="N255" s="426">
        <f t="shared" si="58"/>
        <v>918.75</v>
      </c>
      <c r="O255" s="426">
        <f t="shared" si="59"/>
        <v>49000</v>
      </c>
      <c r="P255" s="161">
        <v>1</v>
      </c>
      <c r="Q255" s="162">
        <v>1</v>
      </c>
      <c r="R255" s="162">
        <f t="shared" si="66"/>
        <v>1012500</v>
      </c>
      <c r="S255" s="162">
        <f aca="true" t="shared" si="67" ref="S255:S282">R255*Q255*P255*K255</f>
        <v>1012500</v>
      </c>
      <c r="T255" s="161">
        <f aca="true" t="shared" si="68" ref="T255:T282">L255*P255*Q255*R255</f>
        <v>0</v>
      </c>
      <c r="U255" s="153">
        <f aca="true" t="shared" si="69" ref="U255:U269">S255+T255</f>
        <v>1012500</v>
      </c>
    </row>
    <row r="256" spans="1:21" s="47" customFormat="1" ht="21.75" customHeight="1">
      <c r="A256" s="237">
        <v>97</v>
      </c>
      <c r="B256" s="214" t="s">
        <v>46</v>
      </c>
      <c r="C256" s="409" t="s">
        <v>762</v>
      </c>
      <c r="D256" s="281" t="s">
        <v>346</v>
      </c>
      <c r="E256" s="150" t="s">
        <v>335</v>
      </c>
      <c r="F256" s="150"/>
      <c r="G256" s="239">
        <v>15</v>
      </c>
      <c r="H256" s="162">
        <v>1800</v>
      </c>
      <c r="I256" s="153">
        <v>2</v>
      </c>
      <c r="J256" s="304" t="s">
        <v>62</v>
      </c>
      <c r="K256" s="163">
        <v>1</v>
      </c>
      <c r="L256" s="163">
        <v>0</v>
      </c>
      <c r="M256" s="425">
        <f t="shared" si="65"/>
        <v>1350</v>
      </c>
      <c r="N256" s="426">
        <f t="shared" si="58"/>
        <v>1417.5</v>
      </c>
      <c r="O256" s="426">
        <f t="shared" si="59"/>
        <v>75600</v>
      </c>
      <c r="P256" s="161">
        <v>1</v>
      </c>
      <c r="Q256" s="162">
        <v>1</v>
      </c>
      <c r="R256" s="162">
        <f t="shared" si="66"/>
        <v>1012500</v>
      </c>
      <c r="S256" s="162">
        <f t="shared" si="67"/>
        <v>1012500</v>
      </c>
      <c r="T256" s="161">
        <f t="shared" si="68"/>
        <v>0</v>
      </c>
      <c r="U256" s="153">
        <f t="shared" si="69"/>
        <v>1012500</v>
      </c>
    </row>
    <row r="257" spans="1:21" s="47" customFormat="1" ht="21.75" customHeight="1">
      <c r="A257" s="237">
        <v>98</v>
      </c>
      <c r="B257" s="214" t="s">
        <v>46</v>
      </c>
      <c r="C257" s="409" t="s">
        <v>763</v>
      </c>
      <c r="D257" s="281" t="s">
        <v>346</v>
      </c>
      <c r="E257" s="150" t="s">
        <v>335</v>
      </c>
      <c r="F257" s="150"/>
      <c r="G257" s="239">
        <v>15</v>
      </c>
      <c r="H257" s="162">
        <v>1800</v>
      </c>
      <c r="I257" s="153">
        <v>2</v>
      </c>
      <c r="J257" s="304" t="s">
        <v>62</v>
      </c>
      <c r="K257" s="163">
        <v>1</v>
      </c>
      <c r="L257" s="163">
        <v>0</v>
      </c>
      <c r="M257" s="425">
        <f t="shared" si="65"/>
        <v>1350</v>
      </c>
      <c r="N257" s="426">
        <f t="shared" si="58"/>
        <v>1417.5</v>
      </c>
      <c r="O257" s="426">
        <f t="shared" si="59"/>
        <v>75600</v>
      </c>
      <c r="P257" s="161">
        <v>1</v>
      </c>
      <c r="Q257" s="162">
        <v>1</v>
      </c>
      <c r="R257" s="162">
        <f t="shared" si="66"/>
        <v>1012500</v>
      </c>
      <c r="S257" s="162">
        <f t="shared" si="67"/>
        <v>1012500</v>
      </c>
      <c r="T257" s="161">
        <f t="shared" si="68"/>
        <v>0</v>
      </c>
      <c r="U257" s="153">
        <f t="shared" si="69"/>
        <v>1012500</v>
      </c>
    </row>
    <row r="258" spans="1:21" s="47" customFormat="1" ht="21.75" customHeight="1">
      <c r="A258" s="237">
        <v>99</v>
      </c>
      <c r="B258" s="214" t="s">
        <v>46</v>
      </c>
      <c r="C258" s="409" t="s">
        <v>744</v>
      </c>
      <c r="D258" s="281" t="s">
        <v>749</v>
      </c>
      <c r="E258" s="150" t="s">
        <v>748</v>
      </c>
      <c r="F258" s="150"/>
      <c r="G258" s="239">
        <v>18</v>
      </c>
      <c r="H258" s="162">
        <f>14374/4</f>
        <v>3593.5</v>
      </c>
      <c r="I258" s="153">
        <v>2</v>
      </c>
      <c r="J258" s="304" t="s">
        <v>62</v>
      </c>
      <c r="K258" s="163">
        <v>1</v>
      </c>
      <c r="L258" s="163">
        <v>0</v>
      </c>
      <c r="M258" s="425">
        <f t="shared" si="65"/>
        <v>3234.15</v>
      </c>
      <c r="N258" s="426">
        <f t="shared" si="58"/>
        <v>3395.8575</v>
      </c>
      <c r="O258" s="426">
        <f t="shared" si="59"/>
        <v>181112.4</v>
      </c>
      <c r="P258" s="161">
        <v>1</v>
      </c>
      <c r="Q258" s="162">
        <v>1</v>
      </c>
      <c r="R258" s="162">
        <f t="shared" si="66"/>
        <v>1012500</v>
      </c>
      <c r="S258" s="162">
        <f t="shared" si="67"/>
        <v>1012500</v>
      </c>
      <c r="T258" s="161">
        <f t="shared" si="68"/>
        <v>0</v>
      </c>
      <c r="U258" s="153">
        <f t="shared" si="69"/>
        <v>1012500</v>
      </c>
    </row>
    <row r="259" spans="1:21" s="47" customFormat="1" ht="21.75" customHeight="1">
      <c r="A259" s="237">
        <v>100</v>
      </c>
      <c r="B259" s="214" t="s">
        <v>46</v>
      </c>
      <c r="C259" s="409" t="s">
        <v>746</v>
      </c>
      <c r="D259" s="281" t="s">
        <v>749</v>
      </c>
      <c r="E259" s="150" t="s">
        <v>748</v>
      </c>
      <c r="F259" s="150"/>
      <c r="G259" s="239">
        <v>18</v>
      </c>
      <c r="H259" s="162">
        <f>14374/4</f>
        <v>3593.5</v>
      </c>
      <c r="I259" s="153">
        <v>2</v>
      </c>
      <c r="J259" s="304" t="s">
        <v>62</v>
      </c>
      <c r="K259" s="163">
        <v>1</v>
      </c>
      <c r="L259" s="163">
        <v>0</v>
      </c>
      <c r="M259" s="425">
        <f t="shared" si="65"/>
        <v>3234.15</v>
      </c>
      <c r="N259" s="426">
        <f t="shared" si="58"/>
        <v>3395.8575</v>
      </c>
      <c r="O259" s="426">
        <f t="shared" si="59"/>
        <v>181112.4</v>
      </c>
      <c r="P259" s="161">
        <v>1</v>
      </c>
      <c r="Q259" s="162">
        <v>1</v>
      </c>
      <c r="R259" s="162">
        <f t="shared" si="66"/>
        <v>1012500</v>
      </c>
      <c r="S259" s="162">
        <f t="shared" si="67"/>
        <v>1012500</v>
      </c>
      <c r="T259" s="161">
        <f t="shared" si="68"/>
        <v>0</v>
      </c>
      <c r="U259" s="153">
        <f t="shared" si="69"/>
        <v>1012500</v>
      </c>
    </row>
    <row r="260" spans="1:21" s="47" customFormat="1" ht="21.75" customHeight="1">
      <c r="A260" s="237">
        <v>101</v>
      </c>
      <c r="B260" s="214" t="s">
        <v>46</v>
      </c>
      <c r="C260" s="409" t="s">
        <v>747</v>
      </c>
      <c r="D260" s="281" t="s">
        <v>749</v>
      </c>
      <c r="E260" s="150" t="s">
        <v>748</v>
      </c>
      <c r="F260" s="150"/>
      <c r="G260" s="239">
        <v>18</v>
      </c>
      <c r="H260" s="162">
        <f>14374/4</f>
        <v>3593.5</v>
      </c>
      <c r="I260" s="153">
        <v>2</v>
      </c>
      <c r="J260" s="304" t="s">
        <v>62</v>
      </c>
      <c r="K260" s="163">
        <v>1</v>
      </c>
      <c r="L260" s="163">
        <v>0</v>
      </c>
      <c r="M260" s="425">
        <f t="shared" si="65"/>
        <v>3234.15</v>
      </c>
      <c r="N260" s="426">
        <f t="shared" si="58"/>
        <v>3395.8575</v>
      </c>
      <c r="O260" s="426">
        <f t="shared" si="59"/>
        <v>181112.4</v>
      </c>
      <c r="P260" s="161">
        <v>1</v>
      </c>
      <c r="Q260" s="162">
        <v>1</v>
      </c>
      <c r="R260" s="162">
        <f t="shared" si="66"/>
        <v>1012500</v>
      </c>
      <c r="S260" s="162">
        <f t="shared" si="67"/>
        <v>1012500</v>
      </c>
      <c r="T260" s="161">
        <f t="shared" si="68"/>
        <v>0</v>
      </c>
      <c r="U260" s="153">
        <f t="shared" si="69"/>
        <v>1012500</v>
      </c>
    </row>
    <row r="261" spans="1:21" s="47" customFormat="1" ht="21.75" customHeight="1">
      <c r="A261" s="237">
        <v>102</v>
      </c>
      <c r="B261" s="214" t="s">
        <v>46</v>
      </c>
      <c r="C261" s="409" t="s">
        <v>745</v>
      </c>
      <c r="D261" s="281" t="s">
        <v>749</v>
      </c>
      <c r="E261" s="150" t="s">
        <v>748</v>
      </c>
      <c r="F261" s="150"/>
      <c r="G261" s="239">
        <v>18</v>
      </c>
      <c r="H261" s="162">
        <f>14374/4</f>
        <v>3593.5</v>
      </c>
      <c r="I261" s="153">
        <v>2</v>
      </c>
      <c r="J261" s="304" t="s">
        <v>62</v>
      </c>
      <c r="K261" s="163">
        <v>1</v>
      </c>
      <c r="L261" s="163">
        <v>0</v>
      </c>
      <c r="M261" s="425">
        <f t="shared" si="65"/>
        <v>3234.15</v>
      </c>
      <c r="N261" s="426">
        <f t="shared" si="58"/>
        <v>3395.8575</v>
      </c>
      <c r="O261" s="426">
        <f t="shared" si="59"/>
        <v>181112.4</v>
      </c>
      <c r="P261" s="161">
        <v>1</v>
      </c>
      <c r="Q261" s="162">
        <v>1</v>
      </c>
      <c r="R261" s="162">
        <f t="shared" si="66"/>
        <v>1012500</v>
      </c>
      <c r="S261" s="162">
        <f t="shared" si="67"/>
        <v>1012500</v>
      </c>
      <c r="T261" s="161">
        <f t="shared" si="68"/>
        <v>0</v>
      </c>
      <c r="U261" s="153">
        <f t="shared" si="69"/>
        <v>1012500</v>
      </c>
    </row>
    <row r="262" spans="1:21" s="47" customFormat="1" ht="21.75" customHeight="1">
      <c r="A262" s="237">
        <v>103</v>
      </c>
      <c r="B262" s="214" t="s">
        <v>17</v>
      </c>
      <c r="C262" s="408" t="s">
        <v>237</v>
      </c>
      <c r="D262" s="280" t="s">
        <v>238</v>
      </c>
      <c r="E262" s="150" t="s">
        <v>338</v>
      </c>
      <c r="F262" s="150"/>
      <c r="G262" s="161">
        <v>9</v>
      </c>
      <c r="H262" s="162">
        <v>450</v>
      </c>
      <c r="I262" s="153">
        <v>1</v>
      </c>
      <c r="J262" s="304" t="s">
        <v>992</v>
      </c>
      <c r="K262" s="163">
        <v>0</v>
      </c>
      <c r="L262" s="163">
        <v>1</v>
      </c>
      <c r="M262" s="425">
        <f t="shared" si="65"/>
        <v>202.5</v>
      </c>
      <c r="N262" s="426">
        <f t="shared" si="58"/>
        <v>212.625</v>
      </c>
      <c r="O262" s="426">
        <f t="shared" si="59"/>
        <v>11340</v>
      </c>
      <c r="P262" s="161">
        <v>1</v>
      </c>
      <c r="Q262" s="162">
        <v>1</v>
      </c>
      <c r="R262" s="162">
        <f t="shared" si="66"/>
        <v>1012500</v>
      </c>
      <c r="S262" s="162">
        <f t="shared" si="67"/>
        <v>0</v>
      </c>
      <c r="T262" s="161">
        <f t="shared" si="68"/>
        <v>1012500</v>
      </c>
      <c r="U262" s="153">
        <f t="shared" si="69"/>
        <v>1012500</v>
      </c>
    </row>
    <row r="263" spans="1:21" s="47" customFormat="1" ht="21.75" customHeight="1">
      <c r="A263" s="237">
        <v>104</v>
      </c>
      <c r="B263" s="214" t="s">
        <v>46</v>
      </c>
      <c r="C263" s="411" t="s">
        <v>872</v>
      </c>
      <c r="D263" s="283" t="s">
        <v>873</v>
      </c>
      <c r="E263" s="155" t="s">
        <v>332</v>
      </c>
      <c r="F263" s="150"/>
      <c r="G263" s="239">
        <v>7</v>
      </c>
      <c r="H263" s="155">
        <v>600</v>
      </c>
      <c r="I263" s="153">
        <v>1</v>
      </c>
      <c r="J263" s="304" t="s">
        <v>992</v>
      </c>
      <c r="K263" s="163">
        <v>0</v>
      </c>
      <c r="L263" s="163">
        <v>1</v>
      </c>
      <c r="M263" s="425">
        <f t="shared" si="65"/>
        <v>210</v>
      </c>
      <c r="N263" s="426">
        <f t="shared" si="58"/>
        <v>220.5</v>
      </c>
      <c r="O263" s="426">
        <f t="shared" si="59"/>
        <v>11760</v>
      </c>
      <c r="P263" s="161">
        <v>1</v>
      </c>
      <c r="Q263" s="162">
        <v>1</v>
      </c>
      <c r="R263" s="162">
        <f t="shared" si="66"/>
        <v>1012500</v>
      </c>
      <c r="S263" s="162">
        <f t="shared" si="67"/>
        <v>0</v>
      </c>
      <c r="T263" s="161">
        <f t="shared" si="68"/>
        <v>1012500</v>
      </c>
      <c r="U263" s="153">
        <f t="shared" si="69"/>
        <v>1012500</v>
      </c>
    </row>
    <row r="264" spans="1:21" s="47" customFormat="1" ht="21.75" customHeight="1">
      <c r="A264" s="237">
        <v>105</v>
      </c>
      <c r="B264" s="214" t="s">
        <v>17</v>
      </c>
      <c r="C264" s="408" t="s">
        <v>241</v>
      </c>
      <c r="D264" s="280" t="s">
        <v>242</v>
      </c>
      <c r="E264" s="150" t="s">
        <v>24</v>
      </c>
      <c r="F264" s="150" t="s">
        <v>1125</v>
      </c>
      <c r="G264" s="161">
        <v>10</v>
      </c>
      <c r="H264" s="162">
        <v>300</v>
      </c>
      <c r="I264" s="153">
        <v>2</v>
      </c>
      <c r="J264" s="304" t="s">
        <v>77</v>
      </c>
      <c r="K264" s="240">
        <v>1</v>
      </c>
      <c r="L264" s="163">
        <v>0</v>
      </c>
      <c r="M264" s="425">
        <f aca="true" t="shared" si="70" ref="M264:M276">G264*H264/5</f>
        <v>600</v>
      </c>
      <c r="N264" s="426">
        <f aca="true" t="shared" si="71" ref="N264:N276">M264*0.15*5.5</f>
        <v>495</v>
      </c>
      <c r="O264" s="426">
        <f>M264*7.7*5.5+N264*2</f>
        <v>26400</v>
      </c>
      <c r="P264" s="161">
        <v>1</v>
      </c>
      <c r="Q264" s="162">
        <v>1</v>
      </c>
      <c r="R264" s="162">
        <f t="shared" si="66"/>
        <v>1012500</v>
      </c>
      <c r="S264" s="162">
        <f t="shared" si="67"/>
        <v>1012500</v>
      </c>
      <c r="T264" s="161">
        <f t="shared" si="68"/>
        <v>0</v>
      </c>
      <c r="U264" s="153">
        <f t="shared" si="69"/>
        <v>1012500</v>
      </c>
    </row>
    <row r="265" spans="1:21" s="47" customFormat="1" ht="21.75" customHeight="1">
      <c r="A265" s="237">
        <v>106</v>
      </c>
      <c r="B265" s="214" t="s">
        <v>17</v>
      </c>
      <c r="C265" s="408" t="s">
        <v>764</v>
      </c>
      <c r="D265" s="280" t="s">
        <v>243</v>
      </c>
      <c r="E265" s="150" t="s">
        <v>338</v>
      </c>
      <c r="F265" s="150"/>
      <c r="G265" s="161">
        <v>10</v>
      </c>
      <c r="H265" s="162">
        <v>450</v>
      </c>
      <c r="I265" s="153">
        <v>2</v>
      </c>
      <c r="J265" s="304" t="s">
        <v>25</v>
      </c>
      <c r="K265" s="240">
        <v>1</v>
      </c>
      <c r="L265" s="163">
        <v>0</v>
      </c>
      <c r="M265" s="425">
        <f t="shared" si="70"/>
        <v>900</v>
      </c>
      <c r="N265" s="426">
        <f t="shared" si="71"/>
        <v>742.5</v>
      </c>
      <c r="O265" s="426">
        <f>M265*7.7*5.5+N265*2</f>
        <v>39600</v>
      </c>
      <c r="P265" s="161">
        <v>1</v>
      </c>
      <c r="Q265" s="162">
        <v>1</v>
      </c>
      <c r="R265" s="162">
        <f t="shared" si="66"/>
        <v>1012500</v>
      </c>
      <c r="S265" s="162">
        <f t="shared" si="67"/>
        <v>1012500</v>
      </c>
      <c r="T265" s="161">
        <f t="shared" si="68"/>
        <v>0</v>
      </c>
      <c r="U265" s="153">
        <f t="shared" si="69"/>
        <v>1012500</v>
      </c>
    </row>
    <row r="266" spans="1:21" s="47" customFormat="1" ht="21.75" customHeight="1">
      <c r="A266" s="237">
        <v>107</v>
      </c>
      <c r="B266" s="214" t="s">
        <v>17</v>
      </c>
      <c r="C266" s="408" t="s">
        <v>244</v>
      </c>
      <c r="D266" s="280" t="s">
        <v>245</v>
      </c>
      <c r="E266" s="150" t="s">
        <v>91</v>
      </c>
      <c r="F266" s="150" t="s">
        <v>1126</v>
      </c>
      <c r="G266" s="161">
        <v>10</v>
      </c>
      <c r="H266" s="162">
        <v>2500</v>
      </c>
      <c r="I266" s="153">
        <v>2</v>
      </c>
      <c r="J266" s="304" t="s">
        <v>62</v>
      </c>
      <c r="K266" s="240">
        <v>1</v>
      </c>
      <c r="L266" s="163">
        <v>0</v>
      </c>
      <c r="M266" s="425">
        <f t="shared" si="70"/>
        <v>5000</v>
      </c>
      <c r="N266" s="426">
        <f t="shared" si="71"/>
        <v>4125</v>
      </c>
      <c r="O266" s="426">
        <f>M266*7.7*5.5+N266*2</f>
        <v>220000</v>
      </c>
      <c r="P266" s="161">
        <v>1</v>
      </c>
      <c r="Q266" s="162">
        <v>1</v>
      </c>
      <c r="R266" s="162">
        <f t="shared" si="66"/>
        <v>1012500</v>
      </c>
      <c r="S266" s="162">
        <f t="shared" si="67"/>
        <v>1012500</v>
      </c>
      <c r="T266" s="161">
        <f t="shared" si="68"/>
        <v>0</v>
      </c>
      <c r="U266" s="153">
        <f t="shared" si="69"/>
        <v>1012500</v>
      </c>
    </row>
    <row r="267" spans="1:21" s="47" customFormat="1" ht="21.75" customHeight="1">
      <c r="A267" s="237">
        <v>108</v>
      </c>
      <c r="B267" s="214" t="s">
        <v>17</v>
      </c>
      <c r="C267" s="408" t="s">
        <v>246</v>
      </c>
      <c r="D267" s="280" t="s">
        <v>247</v>
      </c>
      <c r="E267" s="150" t="s">
        <v>24</v>
      </c>
      <c r="F267" s="150"/>
      <c r="G267" s="161">
        <v>7</v>
      </c>
      <c r="H267" s="162">
        <v>360</v>
      </c>
      <c r="I267" s="153">
        <v>2</v>
      </c>
      <c r="J267" s="304" t="s">
        <v>62</v>
      </c>
      <c r="K267" s="240">
        <v>1</v>
      </c>
      <c r="L267" s="163">
        <v>0</v>
      </c>
      <c r="M267" s="425">
        <f t="shared" si="70"/>
        <v>504</v>
      </c>
      <c r="N267" s="426">
        <f t="shared" si="71"/>
        <v>415.79999999999995</v>
      </c>
      <c r="O267" s="426">
        <f>M267*7.7*5.5+N267*2</f>
        <v>22176</v>
      </c>
      <c r="P267" s="161">
        <v>1</v>
      </c>
      <c r="Q267" s="162">
        <v>1</v>
      </c>
      <c r="R267" s="162">
        <f t="shared" si="66"/>
        <v>1012500</v>
      </c>
      <c r="S267" s="162">
        <f t="shared" si="67"/>
        <v>1012500</v>
      </c>
      <c r="T267" s="161">
        <f t="shared" si="68"/>
        <v>0</v>
      </c>
      <c r="U267" s="153">
        <f t="shared" si="69"/>
        <v>1012500</v>
      </c>
    </row>
    <row r="268" spans="1:21" s="47" customFormat="1" ht="21.75" customHeight="1">
      <c r="A268" s="237">
        <v>109</v>
      </c>
      <c r="B268" s="214" t="s">
        <v>17</v>
      </c>
      <c r="C268" s="408" t="s">
        <v>248</v>
      </c>
      <c r="D268" s="280" t="s">
        <v>249</v>
      </c>
      <c r="E268" s="150" t="s">
        <v>24</v>
      </c>
      <c r="F268" s="150"/>
      <c r="G268" s="161">
        <v>8</v>
      </c>
      <c r="H268" s="162">
        <v>160</v>
      </c>
      <c r="I268" s="153">
        <v>1</v>
      </c>
      <c r="J268" s="304" t="s">
        <v>77</v>
      </c>
      <c r="K268" s="240">
        <v>1</v>
      </c>
      <c r="L268" s="163">
        <v>0</v>
      </c>
      <c r="M268" s="425">
        <f t="shared" si="70"/>
        <v>256</v>
      </c>
      <c r="N268" s="426">
        <f t="shared" si="71"/>
        <v>211.2</v>
      </c>
      <c r="O268" s="426">
        <f>M268*7.7*5.5+N268*2</f>
        <v>11264</v>
      </c>
      <c r="P268" s="161">
        <v>1</v>
      </c>
      <c r="Q268" s="162">
        <v>1</v>
      </c>
      <c r="R268" s="162">
        <f t="shared" si="66"/>
        <v>1012500</v>
      </c>
      <c r="S268" s="162">
        <f t="shared" si="67"/>
        <v>1012500</v>
      </c>
      <c r="T268" s="161">
        <f t="shared" si="68"/>
        <v>0</v>
      </c>
      <c r="U268" s="153">
        <f t="shared" si="69"/>
        <v>1012500</v>
      </c>
    </row>
    <row r="269" spans="1:21" s="47" customFormat="1" ht="21.75" customHeight="1">
      <c r="A269" s="237">
        <v>110</v>
      </c>
      <c r="B269" s="214" t="s">
        <v>17</v>
      </c>
      <c r="C269" s="408" t="s">
        <v>250</v>
      </c>
      <c r="D269" s="280" t="s">
        <v>251</v>
      </c>
      <c r="E269" s="150" t="s">
        <v>20</v>
      </c>
      <c r="F269" s="150"/>
      <c r="G269" s="161">
        <v>8</v>
      </c>
      <c r="H269" s="162">
        <v>700</v>
      </c>
      <c r="I269" s="153">
        <v>2</v>
      </c>
      <c r="J269" s="304" t="s">
        <v>129</v>
      </c>
      <c r="K269" s="163">
        <v>1</v>
      </c>
      <c r="L269" s="163">
        <v>1</v>
      </c>
      <c r="M269" s="425">
        <f t="shared" si="70"/>
        <v>1120</v>
      </c>
      <c r="N269" s="426">
        <f t="shared" si="71"/>
        <v>924</v>
      </c>
      <c r="O269" s="426">
        <f aca="true" t="shared" si="72" ref="O269:O276">M269*7.7*5.5+N269*2</f>
        <v>49280</v>
      </c>
      <c r="P269" s="161">
        <v>1</v>
      </c>
      <c r="Q269" s="162">
        <v>1</v>
      </c>
      <c r="R269" s="162">
        <f t="shared" si="66"/>
        <v>1012500</v>
      </c>
      <c r="S269" s="162">
        <f t="shared" si="67"/>
        <v>1012500</v>
      </c>
      <c r="T269" s="161">
        <f t="shared" si="68"/>
        <v>1012500</v>
      </c>
      <c r="U269" s="153">
        <f t="shared" si="69"/>
        <v>2025000</v>
      </c>
    </row>
    <row r="270" spans="1:21" s="47" customFormat="1" ht="21.75" customHeight="1">
      <c r="A270" s="237">
        <v>111</v>
      </c>
      <c r="B270" s="214" t="s">
        <v>17</v>
      </c>
      <c r="C270" s="408" t="s">
        <v>252</v>
      </c>
      <c r="D270" s="280" t="s">
        <v>253</v>
      </c>
      <c r="E270" s="150" t="s">
        <v>254</v>
      </c>
      <c r="F270" s="150"/>
      <c r="G270" s="161">
        <v>6</v>
      </c>
      <c r="H270" s="162">
        <v>400</v>
      </c>
      <c r="I270" s="153">
        <v>1</v>
      </c>
      <c r="J270" s="304" t="s">
        <v>62</v>
      </c>
      <c r="K270" s="163">
        <v>1</v>
      </c>
      <c r="L270" s="163">
        <v>0</v>
      </c>
      <c r="M270" s="425">
        <f t="shared" si="70"/>
        <v>480</v>
      </c>
      <c r="N270" s="426">
        <f t="shared" si="71"/>
        <v>396</v>
      </c>
      <c r="O270" s="426">
        <f t="shared" si="72"/>
        <v>21120</v>
      </c>
      <c r="P270" s="161">
        <v>1</v>
      </c>
      <c r="Q270" s="162">
        <v>1</v>
      </c>
      <c r="R270" s="162">
        <f t="shared" si="66"/>
        <v>1012500</v>
      </c>
      <c r="S270" s="162">
        <f t="shared" si="67"/>
        <v>1012500</v>
      </c>
      <c r="T270" s="161">
        <f t="shared" si="68"/>
        <v>0</v>
      </c>
      <c r="U270" s="153">
        <f aca="true" t="shared" si="73" ref="U270:U338">S270+T270</f>
        <v>1012500</v>
      </c>
    </row>
    <row r="271" spans="1:21" s="47" customFormat="1" ht="21.75" customHeight="1">
      <c r="A271" s="237">
        <v>112</v>
      </c>
      <c r="B271" s="214" t="s">
        <v>17</v>
      </c>
      <c r="C271" s="408" t="s">
        <v>255</v>
      </c>
      <c r="D271" s="280" t="s">
        <v>256</v>
      </c>
      <c r="E271" s="150" t="s">
        <v>338</v>
      </c>
      <c r="F271" s="150"/>
      <c r="G271" s="161">
        <v>9</v>
      </c>
      <c r="H271" s="162">
        <v>200</v>
      </c>
      <c r="I271" s="153">
        <v>1</v>
      </c>
      <c r="J271" s="304" t="s">
        <v>77</v>
      </c>
      <c r="K271" s="163">
        <v>1</v>
      </c>
      <c r="L271" s="163">
        <v>0</v>
      </c>
      <c r="M271" s="425">
        <f t="shared" si="70"/>
        <v>360</v>
      </c>
      <c r="N271" s="426">
        <f t="shared" si="71"/>
        <v>297</v>
      </c>
      <c r="O271" s="426">
        <f t="shared" si="72"/>
        <v>15840</v>
      </c>
      <c r="P271" s="161">
        <v>1</v>
      </c>
      <c r="Q271" s="162">
        <v>1</v>
      </c>
      <c r="R271" s="162">
        <f t="shared" si="66"/>
        <v>1012500</v>
      </c>
      <c r="S271" s="162">
        <f t="shared" si="67"/>
        <v>1012500</v>
      </c>
      <c r="T271" s="161">
        <f t="shared" si="68"/>
        <v>0</v>
      </c>
      <c r="U271" s="153">
        <f t="shared" si="73"/>
        <v>1012500</v>
      </c>
    </row>
    <row r="272" spans="1:21" s="47" customFormat="1" ht="21.75" customHeight="1">
      <c r="A272" s="237">
        <v>113</v>
      </c>
      <c r="B272" s="214" t="s">
        <v>46</v>
      </c>
      <c r="C272" s="408" t="s">
        <v>257</v>
      </c>
      <c r="D272" s="280" t="s">
        <v>258</v>
      </c>
      <c r="E272" s="150" t="s">
        <v>1207</v>
      </c>
      <c r="F272" s="150"/>
      <c r="G272" s="161">
        <v>21</v>
      </c>
      <c r="H272" s="162">
        <v>1360</v>
      </c>
      <c r="I272" s="153">
        <v>2</v>
      </c>
      <c r="J272" s="304" t="s">
        <v>77</v>
      </c>
      <c r="K272" s="163">
        <v>1</v>
      </c>
      <c r="L272" s="163">
        <v>0</v>
      </c>
      <c r="M272" s="425">
        <f t="shared" si="70"/>
        <v>5712</v>
      </c>
      <c r="N272" s="426">
        <f t="shared" si="71"/>
        <v>4712.4</v>
      </c>
      <c r="O272" s="426">
        <f t="shared" si="72"/>
        <v>251328</v>
      </c>
      <c r="P272" s="161">
        <v>1</v>
      </c>
      <c r="Q272" s="162">
        <v>1</v>
      </c>
      <c r="R272" s="162">
        <f t="shared" si="66"/>
        <v>1012500</v>
      </c>
      <c r="S272" s="162">
        <f t="shared" si="67"/>
        <v>1012500</v>
      </c>
      <c r="T272" s="161">
        <f t="shared" si="68"/>
        <v>0</v>
      </c>
      <c r="U272" s="153">
        <f t="shared" si="73"/>
        <v>1012500</v>
      </c>
    </row>
    <row r="273" spans="1:21" s="47" customFormat="1" ht="21.75" customHeight="1">
      <c r="A273" s="237">
        <v>114</v>
      </c>
      <c r="B273" s="214" t="s">
        <v>46</v>
      </c>
      <c r="C273" s="408" t="s">
        <v>259</v>
      </c>
      <c r="D273" s="280" t="s">
        <v>258</v>
      </c>
      <c r="E273" s="150" t="s">
        <v>1207</v>
      </c>
      <c r="F273" s="150"/>
      <c r="G273" s="161">
        <v>21</v>
      </c>
      <c r="H273" s="162">
        <v>1360</v>
      </c>
      <c r="I273" s="153">
        <v>2</v>
      </c>
      <c r="J273" s="304" t="s">
        <v>77</v>
      </c>
      <c r="K273" s="163">
        <v>1</v>
      </c>
      <c r="L273" s="163">
        <v>0</v>
      </c>
      <c r="M273" s="425">
        <f t="shared" si="70"/>
        <v>5712</v>
      </c>
      <c r="N273" s="426">
        <f t="shared" si="71"/>
        <v>4712.4</v>
      </c>
      <c r="O273" s="426">
        <f t="shared" si="72"/>
        <v>251328</v>
      </c>
      <c r="P273" s="161">
        <v>1</v>
      </c>
      <c r="Q273" s="162">
        <v>1</v>
      </c>
      <c r="R273" s="162">
        <f t="shared" si="66"/>
        <v>1012500</v>
      </c>
      <c r="S273" s="162">
        <f t="shared" si="67"/>
        <v>1012500</v>
      </c>
      <c r="T273" s="161">
        <f t="shared" si="68"/>
        <v>0</v>
      </c>
      <c r="U273" s="153">
        <f t="shared" si="73"/>
        <v>1012500</v>
      </c>
    </row>
    <row r="274" spans="1:21" s="47" customFormat="1" ht="21.75" customHeight="1">
      <c r="A274" s="237">
        <v>115</v>
      </c>
      <c r="B274" s="214" t="s">
        <v>46</v>
      </c>
      <c r="C274" s="408" t="s">
        <v>260</v>
      </c>
      <c r="D274" s="280" t="s">
        <v>261</v>
      </c>
      <c r="E274" s="150" t="s">
        <v>1207</v>
      </c>
      <c r="F274" s="150"/>
      <c r="G274" s="161">
        <v>21</v>
      </c>
      <c r="H274" s="162">
        <v>1360</v>
      </c>
      <c r="I274" s="153">
        <v>2</v>
      </c>
      <c r="J274" s="304" t="s">
        <v>77</v>
      </c>
      <c r="K274" s="163">
        <v>1</v>
      </c>
      <c r="L274" s="163">
        <v>0</v>
      </c>
      <c r="M274" s="425">
        <f t="shared" si="70"/>
        <v>5712</v>
      </c>
      <c r="N274" s="426">
        <f t="shared" si="71"/>
        <v>4712.4</v>
      </c>
      <c r="O274" s="426">
        <f t="shared" si="72"/>
        <v>251328</v>
      </c>
      <c r="P274" s="161">
        <v>1</v>
      </c>
      <c r="Q274" s="162">
        <v>1</v>
      </c>
      <c r="R274" s="162">
        <f t="shared" si="66"/>
        <v>1012500</v>
      </c>
      <c r="S274" s="162">
        <f t="shared" si="67"/>
        <v>1012500</v>
      </c>
      <c r="T274" s="161">
        <f t="shared" si="68"/>
        <v>0</v>
      </c>
      <c r="U274" s="153">
        <f t="shared" si="73"/>
        <v>1012500</v>
      </c>
    </row>
    <row r="275" spans="1:21" s="47" customFormat="1" ht="21.75" customHeight="1">
      <c r="A275" s="237">
        <v>116</v>
      </c>
      <c r="B275" s="214" t="s">
        <v>46</v>
      </c>
      <c r="C275" s="408" t="s">
        <v>262</v>
      </c>
      <c r="D275" s="280" t="s">
        <v>263</v>
      </c>
      <c r="E275" s="150" t="s">
        <v>1207</v>
      </c>
      <c r="F275" s="150"/>
      <c r="G275" s="161">
        <v>21</v>
      </c>
      <c r="H275" s="162">
        <v>1360</v>
      </c>
      <c r="I275" s="153">
        <v>2</v>
      </c>
      <c r="J275" s="304" t="s">
        <v>77</v>
      </c>
      <c r="K275" s="163">
        <v>1</v>
      </c>
      <c r="L275" s="163">
        <v>0</v>
      </c>
      <c r="M275" s="425">
        <f t="shared" si="70"/>
        <v>5712</v>
      </c>
      <c r="N275" s="426">
        <f t="shared" si="71"/>
        <v>4712.4</v>
      </c>
      <c r="O275" s="426">
        <f t="shared" si="72"/>
        <v>251328</v>
      </c>
      <c r="P275" s="161">
        <v>1</v>
      </c>
      <c r="Q275" s="162">
        <v>1</v>
      </c>
      <c r="R275" s="162">
        <f t="shared" si="66"/>
        <v>1012500</v>
      </c>
      <c r="S275" s="162">
        <f t="shared" si="67"/>
        <v>1012500</v>
      </c>
      <c r="T275" s="161">
        <f t="shared" si="68"/>
        <v>0</v>
      </c>
      <c r="U275" s="153">
        <f t="shared" si="73"/>
        <v>1012500</v>
      </c>
    </row>
    <row r="276" spans="1:21" s="47" customFormat="1" ht="21.75" customHeight="1">
      <c r="A276" s="237">
        <v>117</v>
      </c>
      <c r="B276" s="214" t="s">
        <v>17</v>
      </c>
      <c r="C276" s="408" t="s">
        <v>264</v>
      </c>
      <c r="D276" s="280" t="s">
        <v>265</v>
      </c>
      <c r="E276" s="150" t="s">
        <v>332</v>
      </c>
      <c r="F276" s="150"/>
      <c r="G276" s="161">
        <v>10</v>
      </c>
      <c r="H276" s="162">
        <v>400</v>
      </c>
      <c r="I276" s="153">
        <v>2</v>
      </c>
      <c r="J276" s="304" t="s">
        <v>62</v>
      </c>
      <c r="K276" s="163">
        <v>1</v>
      </c>
      <c r="L276" s="163">
        <v>0</v>
      </c>
      <c r="M276" s="425">
        <f t="shared" si="70"/>
        <v>800</v>
      </c>
      <c r="N276" s="426">
        <f t="shared" si="71"/>
        <v>660</v>
      </c>
      <c r="O276" s="426">
        <f t="shared" si="72"/>
        <v>35200</v>
      </c>
      <c r="P276" s="161">
        <v>1</v>
      </c>
      <c r="Q276" s="162">
        <v>1</v>
      </c>
      <c r="R276" s="162">
        <f t="shared" si="66"/>
        <v>1012500</v>
      </c>
      <c r="S276" s="162">
        <f t="shared" si="67"/>
        <v>1012500</v>
      </c>
      <c r="T276" s="161">
        <f t="shared" si="68"/>
        <v>0</v>
      </c>
      <c r="U276" s="153">
        <f t="shared" si="73"/>
        <v>1012500</v>
      </c>
    </row>
    <row r="277" spans="1:21" s="47" customFormat="1" ht="21.75" customHeight="1">
      <c r="A277" s="237">
        <v>118</v>
      </c>
      <c r="B277" s="214" t="s">
        <v>17</v>
      </c>
      <c r="C277" s="408" t="s">
        <v>266</v>
      </c>
      <c r="D277" s="141" t="s">
        <v>267</v>
      </c>
      <c r="E277" s="150" t="s">
        <v>332</v>
      </c>
      <c r="F277" s="150"/>
      <c r="G277" s="161">
        <v>9</v>
      </c>
      <c r="H277" s="162">
        <v>300</v>
      </c>
      <c r="I277" s="153">
        <v>2</v>
      </c>
      <c r="J277" s="304" t="s">
        <v>62</v>
      </c>
      <c r="K277" s="163">
        <v>1</v>
      </c>
      <c r="L277" s="163">
        <v>0</v>
      </c>
      <c r="M277" s="425">
        <f aca="true" t="shared" si="74" ref="M277:M282">G277*H277*5/100</f>
        <v>135</v>
      </c>
      <c r="N277" s="426">
        <f aca="true" t="shared" si="75" ref="N277:N282">M277*0.15*7</f>
        <v>141.75</v>
      </c>
      <c r="O277" s="426">
        <f aca="true" t="shared" si="76" ref="O277:O282">M277*7.7*7+N277*2</f>
        <v>7560</v>
      </c>
      <c r="P277" s="161">
        <v>1</v>
      </c>
      <c r="Q277" s="162">
        <v>1</v>
      </c>
      <c r="R277" s="162">
        <f t="shared" si="66"/>
        <v>1012500</v>
      </c>
      <c r="S277" s="162">
        <f t="shared" si="67"/>
        <v>1012500</v>
      </c>
      <c r="T277" s="161">
        <f t="shared" si="68"/>
        <v>0</v>
      </c>
      <c r="U277" s="153">
        <f t="shared" si="73"/>
        <v>1012500</v>
      </c>
    </row>
    <row r="278" spans="1:21" s="47" customFormat="1" ht="21.75" customHeight="1">
      <c r="A278" s="237">
        <v>119</v>
      </c>
      <c r="B278" s="214" t="s">
        <v>17</v>
      </c>
      <c r="C278" s="408" t="s">
        <v>268</v>
      </c>
      <c r="D278" s="280" t="s">
        <v>269</v>
      </c>
      <c r="E278" s="150" t="s">
        <v>126</v>
      </c>
      <c r="F278" s="150"/>
      <c r="G278" s="161">
        <v>11</v>
      </c>
      <c r="H278" s="162">
        <v>400</v>
      </c>
      <c r="I278" s="153">
        <v>2</v>
      </c>
      <c r="J278" s="304" t="s">
        <v>25</v>
      </c>
      <c r="K278" s="163">
        <v>1</v>
      </c>
      <c r="L278" s="163">
        <v>0</v>
      </c>
      <c r="M278" s="425">
        <f t="shared" si="74"/>
        <v>220</v>
      </c>
      <c r="N278" s="426">
        <f t="shared" si="75"/>
        <v>231</v>
      </c>
      <c r="O278" s="426">
        <f t="shared" si="76"/>
        <v>12320</v>
      </c>
      <c r="P278" s="161">
        <v>1</v>
      </c>
      <c r="Q278" s="162">
        <v>1</v>
      </c>
      <c r="R278" s="162">
        <f t="shared" si="66"/>
        <v>1012500</v>
      </c>
      <c r="S278" s="162">
        <f t="shared" si="67"/>
        <v>1012500</v>
      </c>
      <c r="T278" s="161">
        <f t="shared" si="68"/>
        <v>0</v>
      </c>
      <c r="U278" s="153">
        <f t="shared" si="73"/>
        <v>1012500</v>
      </c>
    </row>
    <row r="279" spans="1:21" s="47" customFormat="1" ht="21.75" customHeight="1">
      <c r="A279" s="237">
        <v>120</v>
      </c>
      <c r="B279" s="214" t="s">
        <v>17</v>
      </c>
      <c r="C279" s="408" t="s">
        <v>1063</v>
      </c>
      <c r="D279" s="280" t="s">
        <v>270</v>
      </c>
      <c r="E279" s="150" t="s">
        <v>20</v>
      </c>
      <c r="F279" s="150"/>
      <c r="G279" s="161">
        <v>9</v>
      </c>
      <c r="H279" s="162">
        <v>250</v>
      </c>
      <c r="I279" s="153">
        <v>1</v>
      </c>
      <c r="J279" s="304" t="s">
        <v>62</v>
      </c>
      <c r="K279" s="163">
        <v>1</v>
      </c>
      <c r="L279" s="163">
        <v>0</v>
      </c>
      <c r="M279" s="425">
        <f t="shared" si="74"/>
        <v>112.5</v>
      </c>
      <c r="N279" s="426">
        <f t="shared" si="75"/>
        <v>118.125</v>
      </c>
      <c r="O279" s="426">
        <f t="shared" si="76"/>
        <v>6300</v>
      </c>
      <c r="P279" s="161">
        <v>1</v>
      </c>
      <c r="Q279" s="162">
        <v>1</v>
      </c>
      <c r="R279" s="162">
        <f t="shared" si="66"/>
        <v>1012500</v>
      </c>
      <c r="S279" s="162">
        <f t="shared" si="67"/>
        <v>1012500</v>
      </c>
      <c r="T279" s="161">
        <f t="shared" si="68"/>
        <v>0</v>
      </c>
      <c r="U279" s="153">
        <f t="shared" si="73"/>
        <v>1012500</v>
      </c>
    </row>
    <row r="280" spans="1:21" s="47" customFormat="1" ht="21.75" customHeight="1">
      <c r="A280" s="237">
        <v>121</v>
      </c>
      <c r="B280" s="214" t="s">
        <v>46</v>
      </c>
      <c r="C280" s="408" t="s">
        <v>273</v>
      </c>
      <c r="D280" s="280" t="s">
        <v>274</v>
      </c>
      <c r="E280" s="150" t="s">
        <v>126</v>
      </c>
      <c r="F280" s="150"/>
      <c r="G280" s="161">
        <v>7</v>
      </c>
      <c r="H280" s="162">
        <v>300</v>
      </c>
      <c r="I280" s="153">
        <v>1</v>
      </c>
      <c r="J280" s="304" t="s">
        <v>77</v>
      </c>
      <c r="K280" s="163">
        <v>1</v>
      </c>
      <c r="L280" s="163">
        <v>0</v>
      </c>
      <c r="M280" s="425">
        <f t="shared" si="74"/>
        <v>105</v>
      </c>
      <c r="N280" s="426">
        <f t="shared" si="75"/>
        <v>110.25</v>
      </c>
      <c r="O280" s="426">
        <f t="shared" si="76"/>
        <v>5880</v>
      </c>
      <c r="P280" s="161">
        <v>1</v>
      </c>
      <c r="Q280" s="162">
        <v>1</v>
      </c>
      <c r="R280" s="162">
        <f t="shared" si="66"/>
        <v>1012500</v>
      </c>
      <c r="S280" s="162">
        <f t="shared" si="67"/>
        <v>1012500</v>
      </c>
      <c r="T280" s="161">
        <f t="shared" si="68"/>
        <v>0</v>
      </c>
      <c r="U280" s="153">
        <f t="shared" si="73"/>
        <v>1012500</v>
      </c>
    </row>
    <row r="281" spans="1:21" s="47" customFormat="1" ht="21.75" customHeight="1">
      <c r="A281" s="237">
        <v>122</v>
      </c>
      <c r="B281" s="214" t="s">
        <v>46</v>
      </c>
      <c r="C281" s="408" t="s">
        <v>275</v>
      </c>
      <c r="D281" s="280" t="s">
        <v>274</v>
      </c>
      <c r="E281" s="150" t="s">
        <v>126</v>
      </c>
      <c r="F281" s="150"/>
      <c r="G281" s="161">
        <v>7</v>
      </c>
      <c r="H281" s="162">
        <v>300</v>
      </c>
      <c r="I281" s="153">
        <v>1</v>
      </c>
      <c r="J281" s="304" t="s">
        <v>77</v>
      </c>
      <c r="K281" s="163">
        <v>1</v>
      </c>
      <c r="L281" s="163">
        <v>0</v>
      </c>
      <c r="M281" s="425">
        <f t="shared" si="74"/>
        <v>105</v>
      </c>
      <c r="N281" s="426">
        <f t="shared" si="75"/>
        <v>110.25</v>
      </c>
      <c r="O281" s="426">
        <f t="shared" si="76"/>
        <v>5880</v>
      </c>
      <c r="P281" s="161">
        <v>1</v>
      </c>
      <c r="Q281" s="162">
        <v>1</v>
      </c>
      <c r="R281" s="162">
        <f t="shared" si="66"/>
        <v>1012500</v>
      </c>
      <c r="S281" s="162">
        <f t="shared" si="67"/>
        <v>1012500</v>
      </c>
      <c r="T281" s="161">
        <f t="shared" si="68"/>
        <v>0</v>
      </c>
      <c r="U281" s="153">
        <f t="shared" si="73"/>
        <v>1012500</v>
      </c>
    </row>
    <row r="282" spans="1:21" s="47" customFormat="1" ht="21.75" customHeight="1">
      <c r="A282" s="237">
        <v>123</v>
      </c>
      <c r="B282" s="214" t="s">
        <v>46</v>
      </c>
      <c r="C282" s="408" t="s">
        <v>276</v>
      </c>
      <c r="D282" s="280" t="s">
        <v>274</v>
      </c>
      <c r="E282" s="150" t="s">
        <v>126</v>
      </c>
      <c r="F282" s="150"/>
      <c r="G282" s="161">
        <v>7</v>
      </c>
      <c r="H282" s="162">
        <v>300</v>
      </c>
      <c r="I282" s="153">
        <v>1</v>
      </c>
      <c r="J282" s="304" t="s">
        <v>77</v>
      </c>
      <c r="K282" s="163">
        <v>1</v>
      </c>
      <c r="L282" s="163">
        <v>0</v>
      </c>
      <c r="M282" s="425">
        <f t="shared" si="74"/>
        <v>105</v>
      </c>
      <c r="N282" s="426">
        <f t="shared" si="75"/>
        <v>110.25</v>
      </c>
      <c r="O282" s="426">
        <f t="shared" si="76"/>
        <v>5880</v>
      </c>
      <c r="P282" s="161">
        <v>1</v>
      </c>
      <c r="Q282" s="162">
        <v>1</v>
      </c>
      <c r="R282" s="162">
        <f t="shared" si="66"/>
        <v>1012500</v>
      </c>
      <c r="S282" s="162">
        <f t="shared" si="67"/>
        <v>1012500</v>
      </c>
      <c r="T282" s="161">
        <f t="shared" si="68"/>
        <v>0</v>
      </c>
      <c r="U282" s="153">
        <f t="shared" si="73"/>
        <v>1012500</v>
      </c>
    </row>
    <row r="283" spans="1:21" s="47" customFormat="1" ht="21.75" customHeight="1">
      <c r="A283" s="237">
        <v>124</v>
      </c>
      <c r="B283" s="214" t="s">
        <v>17</v>
      </c>
      <c r="C283" s="408" t="s">
        <v>239</v>
      </c>
      <c r="D283" s="280" t="s">
        <v>240</v>
      </c>
      <c r="E283" s="150" t="s">
        <v>335</v>
      </c>
      <c r="F283" s="150"/>
      <c r="G283" s="161">
        <v>7</v>
      </c>
      <c r="H283" s="162">
        <v>600</v>
      </c>
      <c r="I283" s="153">
        <v>1</v>
      </c>
      <c r="J283" s="304" t="s">
        <v>25</v>
      </c>
      <c r="K283" s="163">
        <v>1</v>
      </c>
      <c r="L283" s="163">
        <v>0</v>
      </c>
      <c r="M283" s="425">
        <f aca="true" t="shared" si="77" ref="M283:M293">G283*H283/5</f>
        <v>840</v>
      </c>
      <c r="N283" s="426">
        <f aca="true" t="shared" si="78" ref="N283:N293">M283*0.15*5.5</f>
        <v>693</v>
      </c>
      <c r="O283" s="426">
        <f aca="true" t="shared" si="79" ref="O283:O293">M283*7.7*5.5+N283*2</f>
        <v>36960</v>
      </c>
      <c r="P283" s="161">
        <v>1</v>
      </c>
      <c r="Q283" s="162">
        <v>1</v>
      </c>
      <c r="R283" s="162">
        <f aca="true" t="shared" si="80" ref="R283:R312">45*$R$2</f>
        <v>1012500</v>
      </c>
      <c r="S283" s="162">
        <f aca="true" t="shared" si="81" ref="S283:S309">R283*Q283*P283*K283</f>
        <v>1012500</v>
      </c>
      <c r="T283" s="161">
        <f aca="true" t="shared" si="82" ref="T283:T309">L283*P283*Q283*R283</f>
        <v>0</v>
      </c>
      <c r="U283" s="153">
        <f t="shared" si="73"/>
        <v>1012500</v>
      </c>
    </row>
    <row r="284" spans="1:21" s="47" customFormat="1" ht="21.75" customHeight="1">
      <c r="A284" s="237">
        <v>125</v>
      </c>
      <c r="B284" s="214" t="s">
        <v>17</v>
      </c>
      <c r="C284" s="408" t="s">
        <v>279</v>
      </c>
      <c r="D284" s="280" t="s">
        <v>280</v>
      </c>
      <c r="E284" s="150" t="s">
        <v>332</v>
      </c>
      <c r="F284" s="150"/>
      <c r="G284" s="161">
        <v>7</v>
      </c>
      <c r="H284" s="162">
        <v>300</v>
      </c>
      <c r="I284" s="153">
        <v>1</v>
      </c>
      <c r="J284" s="304" t="s">
        <v>77</v>
      </c>
      <c r="K284" s="163">
        <v>1</v>
      </c>
      <c r="L284" s="163">
        <v>0</v>
      </c>
      <c r="M284" s="425">
        <f t="shared" si="77"/>
        <v>420</v>
      </c>
      <c r="N284" s="426">
        <f t="shared" si="78"/>
        <v>346.5</v>
      </c>
      <c r="O284" s="426">
        <f t="shared" si="79"/>
        <v>18480</v>
      </c>
      <c r="P284" s="161">
        <v>1</v>
      </c>
      <c r="Q284" s="162">
        <v>1</v>
      </c>
      <c r="R284" s="162">
        <f t="shared" si="80"/>
        <v>1012500</v>
      </c>
      <c r="S284" s="162">
        <f t="shared" si="81"/>
        <v>1012500</v>
      </c>
      <c r="T284" s="161">
        <f t="shared" si="82"/>
        <v>0</v>
      </c>
      <c r="U284" s="153">
        <f t="shared" si="73"/>
        <v>1012500</v>
      </c>
    </row>
    <row r="285" spans="1:21" s="47" customFormat="1" ht="21.75" customHeight="1">
      <c r="A285" s="237">
        <v>126</v>
      </c>
      <c r="B285" s="214" t="s">
        <v>17</v>
      </c>
      <c r="C285" s="408" t="s">
        <v>281</v>
      </c>
      <c r="D285" s="280" t="s">
        <v>282</v>
      </c>
      <c r="E285" s="150" t="s">
        <v>254</v>
      </c>
      <c r="F285" s="150"/>
      <c r="G285" s="161">
        <v>9</v>
      </c>
      <c r="H285" s="162">
        <v>1000</v>
      </c>
      <c r="I285" s="153">
        <v>3</v>
      </c>
      <c r="J285" s="304" t="s">
        <v>62</v>
      </c>
      <c r="K285" s="163">
        <v>1</v>
      </c>
      <c r="L285" s="163">
        <v>0</v>
      </c>
      <c r="M285" s="425">
        <f t="shared" si="77"/>
        <v>1800</v>
      </c>
      <c r="N285" s="426">
        <f t="shared" si="78"/>
        <v>1485</v>
      </c>
      <c r="O285" s="426">
        <f t="shared" si="79"/>
        <v>79200</v>
      </c>
      <c r="P285" s="161">
        <v>1</v>
      </c>
      <c r="Q285" s="162">
        <v>1</v>
      </c>
      <c r="R285" s="162">
        <f t="shared" si="80"/>
        <v>1012500</v>
      </c>
      <c r="S285" s="162">
        <f t="shared" si="81"/>
        <v>1012500</v>
      </c>
      <c r="T285" s="161">
        <f t="shared" si="82"/>
        <v>0</v>
      </c>
      <c r="U285" s="153">
        <f t="shared" si="73"/>
        <v>1012500</v>
      </c>
    </row>
    <row r="286" spans="1:21" s="47" customFormat="1" ht="21.75" customHeight="1">
      <c r="A286" s="237">
        <v>127</v>
      </c>
      <c r="B286" s="214" t="s">
        <v>17</v>
      </c>
      <c r="C286" s="408" t="s">
        <v>283</v>
      </c>
      <c r="D286" s="280" t="s">
        <v>284</v>
      </c>
      <c r="E286" s="150" t="s">
        <v>111</v>
      </c>
      <c r="F286" s="150"/>
      <c r="G286" s="161">
        <v>8</v>
      </c>
      <c r="H286" s="162">
        <v>700</v>
      </c>
      <c r="I286" s="153">
        <v>2</v>
      </c>
      <c r="J286" s="304" t="s">
        <v>62</v>
      </c>
      <c r="K286" s="163">
        <v>1</v>
      </c>
      <c r="L286" s="163">
        <v>0</v>
      </c>
      <c r="M286" s="425">
        <f t="shared" si="77"/>
        <v>1120</v>
      </c>
      <c r="N286" s="426">
        <f t="shared" si="78"/>
        <v>924</v>
      </c>
      <c r="O286" s="426">
        <f t="shared" si="79"/>
        <v>49280</v>
      </c>
      <c r="P286" s="161">
        <v>1</v>
      </c>
      <c r="Q286" s="162">
        <v>1</v>
      </c>
      <c r="R286" s="162">
        <f t="shared" si="80"/>
        <v>1012500</v>
      </c>
      <c r="S286" s="162">
        <f t="shared" si="81"/>
        <v>1012500</v>
      </c>
      <c r="T286" s="161">
        <f t="shared" si="82"/>
        <v>0</v>
      </c>
      <c r="U286" s="153">
        <f t="shared" si="73"/>
        <v>1012500</v>
      </c>
    </row>
    <row r="287" spans="1:21" s="47" customFormat="1" ht="21.75" customHeight="1">
      <c r="A287" s="237">
        <v>128</v>
      </c>
      <c r="B287" s="214" t="s">
        <v>17</v>
      </c>
      <c r="C287" s="408" t="s">
        <v>1559</v>
      </c>
      <c r="D287" s="280" t="s">
        <v>285</v>
      </c>
      <c r="E287" s="150" t="s">
        <v>20</v>
      </c>
      <c r="F287" s="150"/>
      <c r="G287" s="161">
        <v>10</v>
      </c>
      <c r="H287" s="162">
        <v>170</v>
      </c>
      <c r="I287" s="153">
        <v>1</v>
      </c>
      <c r="J287" s="304" t="s">
        <v>77</v>
      </c>
      <c r="K287" s="163">
        <v>1</v>
      </c>
      <c r="L287" s="163">
        <v>0</v>
      </c>
      <c r="M287" s="425">
        <f t="shared" si="77"/>
        <v>340</v>
      </c>
      <c r="N287" s="426">
        <f t="shared" si="78"/>
        <v>280.5</v>
      </c>
      <c r="O287" s="426">
        <f t="shared" si="79"/>
        <v>14960</v>
      </c>
      <c r="P287" s="161">
        <v>1</v>
      </c>
      <c r="Q287" s="162">
        <v>1</v>
      </c>
      <c r="R287" s="162">
        <f t="shared" si="80"/>
        <v>1012500</v>
      </c>
      <c r="S287" s="162">
        <f t="shared" si="81"/>
        <v>1012500</v>
      </c>
      <c r="T287" s="161">
        <f t="shared" si="82"/>
        <v>0</v>
      </c>
      <c r="U287" s="153">
        <f t="shared" si="73"/>
        <v>1012500</v>
      </c>
    </row>
    <row r="288" spans="1:21" s="47" customFormat="1" ht="21.75" customHeight="1">
      <c r="A288" s="237">
        <v>129</v>
      </c>
      <c r="B288" s="214" t="s">
        <v>17</v>
      </c>
      <c r="C288" s="408" t="s">
        <v>286</v>
      </c>
      <c r="D288" s="280" t="s">
        <v>287</v>
      </c>
      <c r="E288" s="150" t="s">
        <v>126</v>
      </c>
      <c r="F288" s="150"/>
      <c r="G288" s="161">
        <v>12</v>
      </c>
      <c r="H288" s="162">
        <v>350</v>
      </c>
      <c r="I288" s="153">
        <v>2</v>
      </c>
      <c r="J288" s="304" t="s">
        <v>62</v>
      </c>
      <c r="K288" s="163">
        <v>1</v>
      </c>
      <c r="L288" s="163">
        <v>0</v>
      </c>
      <c r="M288" s="425">
        <f t="shared" si="77"/>
        <v>840</v>
      </c>
      <c r="N288" s="426">
        <f t="shared" si="78"/>
        <v>693</v>
      </c>
      <c r="O288" s="426">
        <f t="shared" si="79"/>
        <v>36960</v>
      </c>
      <c r="P288" s="161">
        <v>1</v>
      </c>
      <c r="Q288" s="162">
        <v>1</v>
      </c>
      <c r="R288" s="162">
        <f t="shared" si="80"/>
        <v>1012500</v>
      </c>
      <c r="S288" s="162">
        <f t="shared" si="81"/>
        <v>1012500</v>
      </c>
      <c r="T288" s="161">
        <f t="shared" si="82"/>
        <v>0</v>
      </c>
      <c r="U288" s="153">
        <f t="shared" si="73"/>
        <v>1012500</v>
      </c>
    </row>
    <row r="289" spans="1:21" s="47" customFormat="1" ht="21.75" customHeight="1">
      <c r="A289" s="237">
        <v>130</v>
      </c>
      <c r="B289" s="214" t="s">
        <v>17</v>
      </c>
      <c r="C289" s="408" t="s">
        <v>874</v>
      </c>
      <c r="D289" s="280" t="s">
        <v>875</v>
      </c>
      <c r="E289" s="150" t="s">
        <v>1013</v>
      </c>
      <c r="F289" s="150"/>
      <c r="G289" s="161">
        <v>10</v>
      </c>
      <c r="H289" s="162">
        <v>800</v>
      </c>
      <c r="I289" s="153">
        <v>1</v>
      </c>
      <c r="J289" s="304" t="s">
        <v>992</v>
      </c>
      <c r="K289" s="163">
        <v>0</v>
      </c>
      <c r="L289" s="163">
        <v>1</v>
      </c>
      <c r="M289" s="425">
        <f t="shared" si="77"/>
        <v>1600</v>
      </c>
      <c r="N289" s="426">
        <f t="shared" si="78"/>
        <v>1320</v>
      </c>
      <c r="O289" s="426">
        <f t="shared" si="79"/>
        <v>70400</v>
      </c>
      <c r="P289" s="161">
        <v>1</v>
      </c>
      <c r="Q289" s="162">
        <v>1</v>
      </c>
      <c r="R289" s="162">
        <f t="shared" si="80"/>
        <v>1012500</v>
      </c>
      <c r="S289" s="162">
        <f t="shared" si="81"/>
        <v>0</v>
      </c>
      <c r="T289" s="161">
        <f t="shared" si="82"/>
        <v>1012500</v>
      </c>
      <c r="U289" s="153">
        <f t="shared" si="73"/>
        <v>1012500</v>
      </c>
    </row>
    <row r="290" spans="1:21" s="47" customFormat="1" ht="21.75" customHeight="1">
      <c r="A290" s="237">
        <v>131</v>
      </c>
      <c r="B290" s="214" t="s">
        <v>17</v>
      </c>
      <c r="C290" s="408" t="s">
        <v>765</v>
      </c>
      <c r="D290" s="280" t="s">
        <v>766</v>
      </c>
      <c r="E290" s="150" t="s">
        <v>338</v>
      </c>
      <c r="F290" s="150"/>
      <c r="G290" s="161">
        <v>6</v>
      </c>
      <c r="H290" s="162">
        <v>300</v>
      </c>
      <c r="I290" s="153">
        <v>1</v>
      </c>
      <c r="J290" s="304" t="s">
        <v>77</v>
      </c>
      <c r="K290" s="163">
        <v>1</v>
      </c>
      <c r="L290" s="163">
        <v>0</v>
      </c>
      <c r="M290" s="425">
        <f t="shared" si="77"/>
        <v>360</v>
      </c>
      <c r="N290" s="426">
        <f t="shared" si="78"/>
        <v>297</v>
      </c>
      <c r="O290" s="426">
        <f t="shared" si="79"/>
        <v>15840</v>
      </c>
      <c r="P290" s="161">
        <v>1</v>
      </c>
      <c r="Q290" s="162">
        <v>1</v>
      </c>
      <c r="R290" s="162">
        <f t="shared" si="80"/>
        <v>1012500</v>
      </c>
      <c r="S290" s="162">
        <f t="shared" si="81"/>
        <v>1012500</v>
      </c>
      <c r="T290" s="161">
        <f t="shared" si="82"/>
        <v>0</v>
      </c>
      <c r="U290" s="153">
        <f t="shared" si="73"/>
        <v>1012500</v>
      </c>
    </row>
    <row r="291" spans="1:21" s="47" customFormat="1" ht="21.75" customHeight="1">
      <c r="A291" s="237">
        <v>132</v>
      </c>
      <c r="B291" s="214" t="s">
        <v>17</v>
      </c>
      <c r="C291" s="408" t="s">
        <v>288</v>
      </c>
      <c r="D291" s="280" t="s">
        <v>289</v>
      </c>
      <c r="E291" s="150" t="s">
        <v>24</v>
      </c>
      <c r="F291" s="150"/>
      <c r="G291" s="161">
        <v>8</v>
      </c>
      <c r="H291" s="162">
        <v>240</v>
      </c>
      <c r="I291" s="153">
        <v>2</v>
      </c>
      <c r="J291" s="304" t="s">
        <v>62</v>
      </c>
      <c r="K291" s="163">
        <v>1</v>
      </c>
      <c r="L291" s="163">
        <v>0</v>
      </c>
      <c r="M291" s="425">
        <f t="shared" si="77"/>
        <v>384</v>
      </c>
      <c r="N291" s="426">
        <f t="shared" si="78"/>
        <v>316.79999999999995</v>
      </c>
      <c r="O291" s="426">
        <f t="shared" si="79"/>
        <v>16896</v>
      </c>
      <c r="P291" s="161">
        <v>1</v>
      </c>
      <c r="Q291" s="162">
        <v>1</v>
      </c>
      <c r="R291" s="162">
        <f t="shared" si="80"/>
        <v>1012500</v>
      </c>
      <c r="S291" s="162">
        <f t="shared" si="81"/>
        <v>1012500</v>
      </c>
      <c r="T291" s="161">
        <f t="shared" si="82"/>
        <v>0</v>
      </c>
      <c r="U291" s="153">
        <f t="shared" si="73"/>
        <v>1012500</v>
      </c>
    </row>
    <row r="292" spans="1:21" s="47" customFormat="1" ht="21.75" customHeight="1">
      <c r="A292" s="237">
        <v>133</v>
      </c>
      <c r="B292" s="214" t="s">
        <v>17</v>
      </c>
      <c r="C292" s="408" t="s">
        <v>292</v>
      </c>
      <c r="D292" s="280" t="s">
        <v>293</v>
      </c>
      <c r="E292" s="150" t="s">
        <v>24</v>
      </c>
      <c r="F292" s="150"/>
      <c r="G292" s="161">
        <v>10</v>
      </c>
      <c r="H292" s="162">
        <v>400</v>
      </c>
      <c r="I292" s="153">
        <v>2</v>
      </c>
      <c r="J292" s="304" t="s">
        <v>77</v>
      </c>
      <c r="K292" s="163">
        <v>1</v>
      </c>
      <c r="L292" s="163">
        <v>0</v>
      </c>
      <c r="M292" s="425">
        <f t="shared" si="77"/>
        <v>800</v>
      </c>
      <c r="N292" s="426">
        <f t="shared" si="78"/>
        <v>660</v>
      </c>
      <c r="O292" s="426">
        <f t="shared" si="79"/>
        <v>35200</v>
      </c>
      <c r="P292" s="161">
        <v>1</v>
      </c>
      <c r="Q292" s="162">
        <v>1</v>
      </c>
      <c r="R292" s="162">
        <f t="shared" si="80"/>
        <v>1012500</v>
      </c>
      <c r="S292" s="162">
        <f t="shared" si="81"/>
        <v>1012500</v>
      </c>
      <c r="T292" s="161">
        <f t="shared" si="82"/>
        <v>0</v>
      </c>
      <c r="U292" s="153">
        <f t="shared" si="73"/>
        <v>1012500</v>
      </c>
    </row>
    <row r="293" spans="1:21" s="47" customFormat="1" ht="21.75" customHeight="1">
      <c r="A293" s="237">
        <v>134</v>
      </c>
      <c r="B293" s="214" t="s">
        <v>17</v>
      </c>
      <c r="C293" s="408" t="s">
        <v>294</v>
      </c>
      <c r="D293" s="280" t="s">
        <v>295</v>
      </c>
      <c r="E293" s="150" t="s">
        <v>338</v>
      </c>
      <c r="F293" s="150"/>
      <c r="G293" s="161">
        <v>8</v>
      </c>
      <c r="H293" s="162">
        <v>200</v>
      </c>
      <c r="I293" s="153">
        <v>1</v>
      </c>
      <c r="J293" s="304" t="s">
        <v>77</v>
      </c>
      <c r="K293" s="163">
        <v>1</v>
      </c>
      <c r="L293" s="163">
        <v>0</v>
      </c>
      <c r="M293" s="425">
        <f t="shared" si="77"/>
        <v>320</v>
      </c>
      <c r="N293" s="426">
        <f t="shared" si="78"/>
        <v>264</v>
      </c>
      <c r="O293" s="426">
        <f t="shared" si="79"/>
        <v>14080</v>
      </c>
      <c r="P293" s="161">
        <v>1</v>
      </c>
      <c r="Q293" s="162">
        <v>1</v>
      </c>
      <c r="R293" s="162">
        <f t="shared" si="80"/>
        <v>1012500</v>
      </c>
      <c r="S293" s="162">
        <f t="shared" si="81"/>
        <v>1012500</v>
      </c>
      <c r="T293" s="161">
        <f t="shared" si="82"/>
        <v>0</v>
      </c>
      <c r="U293" s="153">
        <f t="shared" si="73"/>
        <v>1012500</v>
      </c>
    </row>
    <row r="294" spans="1:21" s="47" customFormat="1" ht="21.75" customHeight="1">
      <c r="A294" s="237">
        <v>135</v>
      </c>
      <c r="B294" s="214" t="s">
        <v>17</v>
      </c>
      <c r="C294" s="408" t="s">
        <v>296</v>
      </c>
      <c r="D294" s="280" t="s">
        <v>297</v>
      </c>
      <c r="E294" s="150" t="s">
        <v>338</v>
      </c>
      <c r="F294" s="150"/>
      <c r="G294" s="161">
        <v>10</v>
      </c>
      <c r="H294" s="162">
        <v>300</v>
      </c>
      <c r="I294" s="153">
        <v>2</v>
      </c>
      <c r="J294" s="304" t="s">
        <v>62</v>
      </c>
      <c r="K294" s="163">
        <v>1</v>
      </c>
      <c r="L294" s="163">
        <v>0</v>
      </c>
      <c r="M294" s="425">
        <f>G294*H294/5</f>
        <v>600</v>
      </c>
      <c r="N294" s="426">
        <f>M294*0.15*5.5</f>
        <v>495</v>
      </c>
      <c r="O294" s="426">
        <f>M294*7.7*5.5+N294*2</f>
        <v>26400</v>
      </c>
      <c r="P294" s="161">
        <v>1</v>
      </c>
      <c r="Q294" s="162">
        <v>1</v>
      </c>
      <c r="R294" s="162">
        <f t="shared" si="80"/>
        <v>1012500</v>
      </c>
      <c r="S294" s="162">
        <f t="shared" si="81"/>
        <v>1012500</v>
      </c>
      <c r="T294" s="161">
        <f t="shared" si="82"/>
        <v>0</v>
      </c>
      <c r="U294" s="153">
        <f t="shared" si="73"/>
        <v>1012500</v>
      </c>
    </row>
    <row r="295" spans="1:21" s="47" customFormat="1" ht="21.75" customHeight="1">
      <c r="A295" s="237">
        <v>136</v>
      </c>
      <c r="B295" s="214" t="s">
        <v>17</v>
      </c>
      <c r="C295" s="408" t="s">
        <v>298</v>
      </c>
      <c r="D295" s="280" t="s">
        <v>299</v>
      </c>
      <c r="E295" s="150" t="s">
        <v>20</v>
      </c>
      <c r="F295" s="150"/>
      <c r="G295" s="161">
        <v>10</v>
      </c>
      <c r="H295" s="162">
        <v>500</v>
      </c>
      <c r="I295" s="153">
        <v>1</v>
      </c>
      <c r="J295" s="304" t="s">
        <v>77</v>
      </c>
      <c r="K295" s="163">
        <v>1</v>
      </c>
      <c r="L295" s="163">
        <v>0</v>
      </c>
      <c r="M295" s="425">
        <f>G295*H295/5</f>
        <v>1000</v>
      </c>
      <c r="N295" s="426">
        <f>M295*0.15*5.5</f>
        <v>825</v>
      </c>
      <c r="O295" s="426">
        <f>M295*7.7*5.5+N295*2</f>
        <v>44000</v>
      </c>
      <c r="P295" s="161">
        <v>1</v>
      </c>
      <c r="Q295" s="162">
        <v>1</v>
      </c>
      <c r="R295" s="162">
        <f t="shared" si="80"/>
        <v>1012500</v>
      </c>
      <c r="S295" s="162">
        <f t="shared" si="81"/>
        <v>1012500</v>
      </c>
      <c r="T295" s="161">
        <f t="shared" si="82"/>
        <v>0</v>
      </c>
      <c r="U295" s="153">
        <f t="shared" si="73"/>
        <v>1012500</v>
      </c>
    </row>
    <row r="296" spans="1:21" s="47" customFormat="1" ht="21.75" customHeight="1">
      <c r="A296" s="237">
        <v>137</v>
      </c>
      <c r="B296" s="214" t="s">
        <v>17</v>
      </c>
      <c r="C296" s="408" t="s">
        <v>300</v>
      </c>
      <c r="D296" s="280" t="s">
        <v>301</v>
      </c>
      <c r="E296" s="150" t="s">
        <v>338</v>
      </c>
      <c r="F296" s="150"/>
      <c r="G296" s="161">
        <v>6</v>
      </c>
      <c r="H296" s="162">
        <v>1200</v>
      </c>
      <c r="I296" s="153">
        <v>2</v>
      </c>
      <c r="J296" s="304" t="s">
        <v>62</v>
      </c>
      <c r="K296" s="163">
        <v>1</v>
      </c>
      <c r="L296" s="163">
        <v>0</v>
      </c>
      <c r="M296" s="425">
        <f>G296*H296/5</f>
        <v>1440</v>
      </c>
      <c r="N296" s="426">
        <f>M296*0.15*5.5</f>
        <v>1188</v>
      </c>
      <c r="O296" s="426">
        <f>M296*7.7*5.5+N296*2</f>
        <v>63360</v>
      </c>
      <c r="P296" s="161">
        <v>1</v>
      </c>
      <c r="Q296" s="162">
        <v>1</v>
      </c>
      <c r="R296" s="162">
        <f t="shared" si="80"/>
        <v>1012500</v>
      </c>
      <c r="S296" s="162">
        <f t="shared" si="81"/>
        <v>1012500</v>
      </c>
      <c r="T296" s="161">
        <f t="shared" si="82"/>
        <v>0</v>
      </c>
      <c r="U296" s="153">
        <f t="shared" si="73"/>
        <v>1012500</v>
      </c>
    </row>
    <row r="297" spans="1:21" s="47" customFormat="1" ht="21.75" customHeight="1">
      <c r="A297" s="237">
        <v>138</v>
      </c>
      <c r="B297" s="214" t="s">
        <v>46</v>
      </c>
      <c r="C297" s="412" t="s">
        <v>877</v>
      </c>
      <c r="D297" s="280" t="s">
        <v>876</v>
      </c>
      <c r="E297" s="150" t="s">
        <v>114</v>
      </c>
      <c r="F297" s="150"/>
      <c r="G297" s="161">
        <v>14</v>
      </c>
      <c r="H297" s="162">
        <f>4520/2</f>
        <v>2260</v>
      </c>
      <c r="I297" s="153">
        <v>2</v>
      </c>
      <c r="J297" s="304" t="s">
        <v>62</v>
      </c>
      <c r="K297" s="163">
        <v>1</v>
      </c>
      <c r="L297" s="163">
        <v>0</v>
      </c>
      <c r="M297" s="425">
        <f>G297*H297*5/100</f>
        <v>1582</v>
      </c>
      <c r="N297" s="426">
        <f>M297*0.15*7</f>
        <v>1661.1</v>
      </c>
      <c r="O297" s="426">
        <f>M297*7.7*7+N297*2</f>
        <v>88592</v>
      </c>
      <c r="P297" s="161">
        <v>1</v>
      </c>
      <c r="Q297" s="162">
        <v>1</v>
      </c>
      <c r="R297" s="162">
        <f t="shared" si="80"/>
        <v>1012500</v>
      </c>
      <c r="S297" s="162">
        <f t="shared" si="81"/>
        <v>1012500</v>
      </c>
      <c r="T297" s="161">
        <f t="shared" si="82"/>
        <v>0</v>
      </c>
      <c r="U297" s="153">
        <f t="shared" si="73"/>
        <v>1012500</v>
      </c>
    </row>
    <row r="298" spans="1:21" s="47" customFormat="1" ht="21.75" customHeight="1">
      <c r="A298" s="237">
        <v>139</v>
      </c>
      <c r="B298" s="214" t="s">
        <v>46</v>
      </c>
      <c r="C298" s="412" t="s">
        <v>878</v>
      </c>
      <c r="D298" s="280" t="s">
        <v>876</v>
      </c>
      <c r="E298" s="150" t="s">
        <v>114</v>
      </c>
      <c r="F298" s="150"/>
      <c r="G298" s="161">
        <v>14</v>
      </c>
      <c r="H298" s="162">
        <f>4520/2</f>
        <v>2260</v>
      </c>
      <c r="I298" s="153">
        <v>2</v>
      </c>
      <c r="J298" s="304" t="s">
        <v>62</v>
      </c>
      <c r="K298" s="163">
        <v>1</v>
      </c>
      <c r="L298" s="163">
        <v>0</v>
      </c>
      <c r="M298" s="425">
        <f aca="true" t="shared" si="83" ref="M298:M326">G298*H298*5/100</f>
        <v>1582</v>
      </c>
      <c r="N298" s="426">
        <f aca="true" t="shared" si="84" ref="N298:N326">M298*0.15*7</f>
        <v>1661.1</v>
      </c>
      <c r="O298" s="426">
        <f aca="true" t="shared" si="85" ref="O298:O326">M298*7.7*7+N298*2</f>
        <v>88592</v>
      </c>
      <c r="P298" s="161">
        <v>1</v>
      </c>
      <c r="Q298" s="162">
        <v>1</v>
      </c>
      <c r="R298" s="162">
        <f t="shared" si="80"/>
        <v>1012500</v>
      </c>
      <c r="S298" s="162">
        <f t="shared" si="81"/>
        <v>1012500</v>
      </c>
      <c r="T298" s="161">
        <f t="shared" si="82"/>
        <v>0</v>
      </c>
      <c r="U298" s="153">
        <f t="shared" si="73"/>
        <v>1012500</v>
      </c>
    </row>
    <row r="299" spans="1:21" s="47" customFormat="1" ht="21.75" customHeight="1">
      <c r="A299" s="237">
        <v>140</v>
      </c>
      <c r="B299" s="214" t="s">
        <v>46</v>
      </c>
      <c r="C299" s="408" t="s">
        <v>879</v>
      </c>
      <c r="D299" s="280" t="s">
        <v>876</v>
      </c>
      <c r="E299" s="150" t="s">
        <v>114</v>
      </c>
      <c r="F299" s="150"/>
      <c r="G299" s="161">
        <v>14</v>
      </c>
      <c r="H299" s="162">
        <f>5498/3</f>
        <v>1832.6666666666667</v>
      </c>
      <c r="I299" s="153">
        <v>2</v>
      </c>
      <c r="J299" s="304" t="s">
        <v>62</v>
      </c>
      <c r="K299" s="163">
        <v>1</v>
      </c>
      <c r="L299" s="163">
        <v>0</v>
      </c>
      <c r="M299" s="425">
        <f t="shared" si="83"/>
        <v>1282.8666666666668</v>
      </c>
      <c r="N299" s="426">
        <f t="shared" si="84"/>
        <v>1347.01</v>
      </c>
      <c r="O299" s="426">
        <f t="shared" si="85"/>
        <v>71840.53333333334</v>
      </c>
      <c r="P299" s="161">
        <v>1</v>
      </c>
      <c r="Q299" s="162">
        <v>1</v>
      </c>
      <c r="R299" s="162">
        <f t="shared" si="80"/>
        <v>1012500</v>
      </c>
      <c r="S299" s="162">
        <f t="shared" si="81"/>
        <v>1012500</v>
      </c>
      <c r="T299" s="161">
        <f t="shared" si="82"/>
        <v>0</v>
      </c>
      <c r="U299" s="153">
        <f t="shared" si="73"/>
        <v>1012500</v>
      </c>
    </row>
    <row r="300" spans="1:21" s="47" customFormat="1" ht="21.75" customHeight="1">
      <c r="A300" s="237">
        <v>141</v>
      </c>
      <c r="B300" s="214" t="s">
        <v>46</v>
      </c>
      <c r="C300" s="408" t="s">
        <v>880</v>
      </c>
      <c r="D300" s="280" t="s">
        <v>876</v>
      </c>
      <c r="E300" s="150" t="s">
        <v>114</v>
      </c>
      <c r="F300" s="150"/>
      <c r="G300" s="161">
        <v>14</v>
      </c>
      <c r="H300" s="162">
        <f>5498/3</f>
        <v>1832.6666666666667</v>
      </c>
      <c r="I300" s="153">
        <v>2</v>
      </c>
      <c r="J300" s="304" t="s">
        <v>62</v>
      </c>
      <c r="K300" s="163">
        <v>1</v>
      </c>
      <c r="L300" s="163">
        <v>0</v>
      </c>
      <c r="M300" s="425">
        <f t="shared" si="83"/>
        <v>1282.8666666666668</v>
      </c>
      <c r="N300" s="426">
        <f t="shared" si="84"/>
        <v>1347.01</v>
      </c>
      <c r="O300" s="426">
        <f t="shared" si="85"/>
        <v>71840.53333333334</v>
      </c>
      <c r="P300" s="161">
        <v>1</v>
      </c>
      <c r="Q300" s="162">
        <v>1</v>
      </c>
      <c r="R300" s="162">
        <f t="shared" si="80"/>
        <v>1012500</v>
      </c>
      <c r="S300" s="162">
        <f t="shared" si="81"/>
        <v>1012500</v>
      </c>
      <c r="T300" s="161">
        <f t="shared" si="82"/>
        <v>0</v>
      </c>
      <c r="U300" s="153">
        <f t="shared" si="73"/>
        <v>1012500</v>
      </c>
    </row>
    <row r="301" spans="1:21" s="47" customFormat="1" ht="21.75" customHeight="1">
      <c r="A301" s="237">
        <v>142</v>
      </c>
      <c r="B301" s="214" t="s">
        <v>46</v>
      </c>
      <c r="C301" s="408" t="s">
        <v>881</v>
      </c>
      <c r="D301" s="280" t="s">
        <v>876</v>
      </c>
      <c r="E301" s="150" t="s">
        <v>114</v>
      </c>
      <c r="F301" s="150"/>
      <c r="G301" s="161">
        <v>14</v>
      </c>
      <c r="H301" s="162">
        <f>5498/3</f>
        <v>1832.6666666666667</v>
      </c>
      <c r="I301" s="153">
        <v>2</v>
      </c>
      <c r="J301" s="304" t="s">
        <v>62</v>
      </c>
      <c r="K301" s="163">
        <v>1</v>
      </c>
      <c r="L301" s="163">
        <v>0</v>
      </c>
      <c r="M301" s="425">
        <f t="shared" si="83"/>
        <v>1282.8666666666668</v>
      </c>
      <c r="N301" s="426">
        <f t="shared" si="84"/>
        <v>1347.01</v>
      </c>
      <c r="O301" s="426">
        <f t="shared" si="85"/>
        <v>71840.53333333334</v>
      </c>
      <c r="P301" s="161">
        <v>1</v>
      </c>
      <c r="Q301" s="162">
        <v>1</v>
      </c>
      <c r="R301" s="162">
        <f t="shared" si="80"/>
        <v>1012500</v>
      </c>
      <c r="S301" s="162">
        <f t="shared" si="81"/>
        <v>1012500</v>
      </c>
      <c r="T301" s="161">
        <f t="shared" si="82"/>
        <v>0</v>
      </c>
      <c r="U301" s="153">
        <f t="shared" si="73"/>
        <v>1012500</v>
      </c>
    </row>
    <row r="302" spans="1:21" s="47" customFormat="1" ht="21.75" customHeight="1">
      <c r="A302" s="237">
        <v>143</v>
      </c>
      <c r="B302" s="214" t="s">
        <v>46</v>
      </c>
      <c r="C302" s="408" t="s">
        <v>1172</v>
      </c>
      <c r="D302" s="280" t="s">
        <v>957</v>
      </c>
      <c r="E302" s="150" t="s">
        <v>126</v>
      </c>
      <c r="F302" s="150"/>
      <c r="G302" s="161">
        <v>10</v>
      </c>
      <c r="H302" s="162">
        <f>3500/3</f>
        <v>1166.6666666666667</v>
      </c>
      <c r="I302" s="153">
        <v>2</v>
      </c>
      <c r="J302" s="304" t="s">
        <v>62</v>
      </c>
      <c r="K302" s="163">
        <v>1</v>
      </c>
      <c r="L302" s="163"/>
      <c r="M302" s="425">
        <f t="shared" si="83"/>
        <v>583.3333333333335</v>
      </c>
      <c r="N302" s="426">
        <f t="shared" si="84"/>
        <v>612.5000000000001</v>
      </c>
      <c r="O302" s="426">
        <f t="shared" si="85"/>
        <v>32666.666666666675</v>
      </c>
      <c r="P302" s="161">
        <v>1</v>
      </c>
      <c r="Q302" s="162">
        <v>1</v>
      </c>
      <c r="R302" s="162">
        <f t="shared" si="80"/>
        <v>1012500</v>
      </c>
      <c r="S302" s="162">
        <f>R302*Q302*P302*K302</f>
        <v>1012500</v>
      </c>
      <c r="T302" s="161">
        <f>R302*Q302*P302*L302</f>
        <v>0</v>
      </c>
      <c r="U302" s="153">
        <f t="shared" si="73"/>
        <v>1012500</v>
      </c>
    </row>
    <row r="303" spans="1:21" s="47" customFormat="1" ht="21.75" customHeight="1">
      <c r="A303" s="237">
        <v>144</v>
      </c>
      <c r="B303" s="214" t="s">
        <v>46</v>
      </c>
      <c r="C303" s="408" t="s">
        <v>1173</v>
      </c>
      <c r="D303" s="280" t="s">
        <v>957</v>
      </c>
      <c r="E303" s="150" t="s">
        <v>126</v>
      </c>
      <c r="F303" s="150"/>
      <c r="G303" s="161">
        <v>10</v>
      </c>
      <c r="H303" s="162">
        <f>3500/3</f>
        <v>1166.6666666666667</v>
      </c>
      <c r="I303" s="153">
        <v>2</v>
      </c>
      <c r="J303" s="304" t="s">
        <v>62</v>
      </c>
      <c r="K303" s="163">
        <v>1</v>
      </c>
      <c r="L303" s="163"/>
      <c r="M303" s="425">
        <f t="shared" si="83"/>
        <v>583.3333333333335</v>
      </c>
      <c r="N303" s="426">
        <f t="shared" si="84"/>
        <v>612.5000000000001</v>
      </c>
      <c r="O303" s="426">
        <f t="shared" si="85"/>
        <v>32666.666666666675</v>
      </c>
      <c r="P303" s="161">
        <v>1</v>
      </c>
      <c r="Q303" s="162">
        <v>1</v>
      </c>
      <c r="R303" s="162">
        <f t="shared" si="80"/>
        <v>1012500</v>
      </c>
      <c r="S303" s="162">
        <f>R303*Q303*P303*K303</f>
        <v>1012500</v>
      </c>
      <c r="T303" s="161">
        <f>R303*Q303*P303*L303</f>
        <v>0</v>
      </c>
      <c r="U303" s="153">
        <f t="shared" si="73"/>
        <v>1012500</v>
      </c>
    </row>
    <row r="304" spans="1:21" s="47" customFormat="1" ht="21.75" customHeight="1">
      <c r="A304" s="237">
        <v>145</v>
      </c>
      <c r="B304" s="214" t="s">
        <v>46</v>
      </c>
      <c r="C304" s="408" t="s">
        <v>1174</v>
      </c>
      <c r="D304" s="280" t="s">
        <v>957</v>
      </c>
      <c r="E304" s="150" t="s">
        <v>126</v>
      </c>
      <c r="F304" s="150"/>
      <c r="G304" s="161">
        <v>10</v>
      </c>
      <c r="H304" s="162">
        <f>3500/3</f>
        <v>1166.6666666666667</v>
      </c>
      <c r="I304" s="153">
        <v>2</v>
      </c>
      <c r="J304" s="304" t="s">
        <v>62</v>
      </c>
      <c r="K304" s="163">
        <v>1</v>
      </c>
      <c r="L304" s="163"/>
      <c r="M304" s="425">
        <f t="shared" si="83"/>
        <v>583.3333333333335</v>
      </c>
      <c r="N304" s="426">
        <f t="shared" si="84"/>
        <v>612.5000000000001</v>
      </c>
      <c r="O304" s="426">
        <f t="shared" si="85"/>
        <v>32666.666666666675</v>
      </c>
      <c r="P304" s="161">
        <v>1</v>
      </c>
      <c r="Q304" s="162">
        <v>1</v>
      </c>
      <c r="R304" s="162">
        <f t="shared" si="80"/>
        <v>1012500</v>
      </c>
      <c r="S304" s="162">
        <f>R304*Q304*P304*K304</f>
        <v>1012500</v>
      </c>
      <c r="T304" s="161">
        <f>R304*Q304*P304*L304</f>
        <v>0</v>
      </c>
      <c r="U304" s="153">
        <f t="shared" si="73"/>
        <v>1012500</v>
      </c>
    </row>
    <row r="305" spans="1:21" s="47" customFormat="1" ht="21.75" customHeight="1">
      <c r="A305" s="237">
        <v>146</v>
      </c>
      <c r="B305" s="214" t="s">
        <v>46</v>
      </c>
      <c r="C305" s="408" t="s">
        <v>1107</v>
      </c>
      <c r="D305" s="280" t="s">
        <v>890</v>
      </c>
      <c r="E305" s="150" t="s">
        <v>329</v>
      </c>
      <c r="F305" s="150"/>
      <c r="G305" s="161">
        <v>8</v>
      </c>
      <c r="H305" s="162">
        <v>1200</v>
      </c>
      <c r="I305" s="153">
        <v>2</v>
      </c>
      <c r="J305" s="304" t="s">
        <v>62</v>
      </c>
      <c r="K305" s="163">
        <v>1</v>
      </c>
      <c r="L305" s="163">
        <v>0</v>
      </c>
      <c r="M305" s="425">
        <f t="shared" si="83"/>
        <v>480</v>
      </c>
      <c r="N305" s="426">
        <f t="shared" si="84"/>
        <v>504</v>
      </c>
      <c r="O305" s="426">
        <f t="shared" si="85"/>
        <v>26880</v>
      </c>
      <c r="P305" s="161">
        <v>1</v>
      </c>
      <c r="Q305" s="162">
        <v>1</v>
      </c>
      <c r="R305" s="162">
        <f t="shared" si="80"/>
        <v>1012500</v>
      </c>
      <c r="S305" s="162">
        <f t="shared" si="81"/>
        <v>1012500</v>
      </c>
      <c r="T305" s="161">
        <f t="shared" si="82"/>
        <v>0</v>
      </c>
      <c r="U305" s="153">
        <f t="shared" si="73"/>
        <v>1012500</v>
      </c>
    </row>
    <row r="306" spans="1:21" s="47" customFormat="1" ht="21.75" customHeight="1">
      <c r="A306" s="237">
        <v>147</v>
      </c>
      <c r="B306" s="214" t="s">
        <v>46</v>
      </c>
      <c r="C306" s="408" t="s">
        <v>1108</v>
      </c>
      <c r="D306" s="280" t="s">
        <v>890</v>
      </c>
      <c r="E306" s="150" t="s">
        <v>329</v>
      </c>
      <c r="F306" s="150"/>
      <c r="G306" s="161">
        <v>8</v>
      </c>
      <c r="H306" s="162">
        <v>1200</v>
      </c>
      <c r="I306" s="153">
        <v>2</v>
      </c>
      <c r="J306" s="304" t="s">
        <v>62</v>
      </c>
      <c r="K306" s="163">
        <v>1</v>
      </c>
      <c r="L306" s="163">
        <v>0</v>
      </c>
      <c r="M306" s="425">
        <f t="shared" si="83"/>
        <v>480</v>
      </c>
      <c r="N306" s="426">
        <f t="shared" si="84"/>
        <v>504</v>
      </c>
      <c r="O306" s="426">
        <f t="shared" si="85"/>
        <v>26880</v>
      </c>
      <c r="P306" s="161">
        <v>1</v>
      </c>
      <c r="Q306" s="162">
        <v>1</v>
      </c>
      <c r="R306" s="162">
        <f t="shared" si="80"/>
        <v>1012500</v>
      </c>
      <c r="S306" s="162">
        <f t="shared" si="81"/>
        <v>1012500</v>
      </c>
      <c r="T306" s="161">
        <f t="shared" si="82"/>
        <v>0</v>
      </c>
      <c r="U306" s="153">
        <f t="shared" si="73"/>
        <v>1012500</v>
      </c>
    </row>
    <row r="307" spans="1:21" s="47" customFormat="1" ht="21.75" customHeight="1">
      <c r="A307" s="237">
        <v>148</v>
      </c>
      <c r="B307" s="214" t="s">
        <v>46</v>
      </c>
      <c r="C307" s="408" t="s">
        <v>891</v>
      </c>
      <c r="D307" s="280" t="s">
        <v>890</v>
      </c>
      <c r="E307" s="150" t="s">
        <v>329</v>
      </c>
      <c r="F307" s="150"/>
      <c r="G307" s="161">
        <v>8</v>
      </c>
      <c r="H307" s="162">
        <v>1200</v>
      </c>
      <c r="I307" s="153">
        <v>2</v>
      </c>
      <c r="J307" s="304" t="s">
        <v>62</v>
      </c>
      <c r="K307" s="163">
        <v>1</v>
      </c>
      <c r="L307" s="163">
        <v>0</v>
      </c>
      <c r="M307" s="425">
        <f t="shared" si="83"/>
        <v>480</v>
      </c>
      <c r="N307" s="426">
        <f t="shared" si="84"/>
        <v>504</v>
      </c>
      <c r="O307" s="426">
        <f t="shared" si="85"/>
        <v>26880</v>
      </c>
      <c r="P307" s="161">
        <v>1</v>
      </c>
      <c r="Q307" s="162">
        <v>1</v>
      </c>
      <c r="R307" s="162">
        <f t="shared" si="80"/>
        <v>1012500</v>
      </c>
      <c r="S307" s="162">
        <f t="shared" si="81"/>
        <v>1012500</v>
      </c>
      <c r="T307" s="161">
        <f t="shared" si="82"/>
        <v>0</v>
      </c>
      <c r="U307" s="153">
        <f t="shared" si="73"/>
        <v>1012500</v>
      </c>
    </row>
    <row r="308" spans="1:21" s="47" customFormat="1" ht="21.75" customHeight="1">
      <c r="A308" s="237">
        <v>149</v>
      </c>
      <c r="B308" s="214" t="s">
        <v>46</v>
      </c>
      <c r="C308" s="408" t="s">
        <v>892</v>
      </c>
      <c r="D308" s="280" t="s">
        <v>890</v>
      </c>
      <c r="E308" s="150" t="s">
        <v>329</v>
      </c>
      <c r="F308" s="150"/>
      <c r="G308" s="161">
        <v>8</v>
      </c>
      <c r="H308" s="162">
        <v>1200</v>
      </c>
      <c r="I308" s="153">
        <v>2</v>
      </c>
      <c r="J308" s="304" t="s">
        <v>62</v>
      </c>
      <c r="K308" s="163">
        <v>1</v>
      </c>
      <c r="L308" s="163">
        <v>0</v>
      </c>
      <c r="M308" s="425">
        <f t="shared" si="83"/>
        <v>480</v>
      </c>
      <c r="N308" s="426">
        <f t="shared" si="84"/>
        <v>504</v>
      </c>
      <c r="O308" s="426">
        <f t="shared" si="85"/>
        <v>26880</v>
      </c>
      <c r="P308" s="161">
        <v>1</v>
      </c>
      <c r="Q308" s="162">
        <v>1</v>
      </c>
      <c r="R308" s="162">
        <f t="shared" si="80"/>
        <v>1012500</v>
      </c>
      <c r="S308" s="162">
        <f t="shared" si="81"/>
        <v>1012500</v>
      </c>
      <c r="T308" s="161">
        <f t="shared" si="82"/>
        <v>0</v>
      </c>
      <c r="U308" s="153">
        <f t="shared" si="73"/>
        <v>1012500</v>
      </c>
    </row>
    <row r="309" spans="1:21" s="46" customFormat="1" ht="21.75" customHeight="1">
      <c r="A309" s="237">
        <v>150</v>
      </c>
      <c r="B309" s="214" t="s">
        <v>46</v>
      </c>
      <c r="C309" s="408" t="s">
        <v>893</v>
      </c>
      <c r="D309" s="280" t="s">
        <v>890</v>
      </c>
      <c r="E309" s="150" t="s">
        <v>329</v>
      </c>
      <c r="F309" s="150"/>
      <c r="G309" s="161">
        <v>8</v>
      </c>
      <c r="H309" s="162">
        <v>1200</v>
      </c>
      <c r="I309" s="153">
        <v>2</v>
      </c>
      <c r="J309" s="304" t="s">
        <v>62</v>
      </c>
      <c r="K309" s="163">
        <v>1</v>
      </c>
      <c r="L309" s="163">
        <v>0</v>
      </c>
      <c r="M309" s="425">
        <f t="shared" si="83"/>
        <v>480</v>
      </c>
      <c r="N309" s="426">
        <f t="shared" si="84"/>
        <v>504</v>
      </c>
      <c r="O309" s="426">
        <f t="shared" si="85"/>
        <v>26880</v>
      </c>
      <c r="P309" s="161">
        <v>1</v>
      </c>
      <c r="Q309" s="162">
        <v>1</v>
      </c>
      <c r="R309" s="162">
        <f t="shared" si="80"/>
        <v>1012500</v>
      </c>
      <c r="S309" s="162">
        <f t="shared" si="81"/>
        <v>1012500</v>
      </c>
      <c r="T309" s="161">
        <f t="shared" si="82"/>
        <v>0</v>
      </c>
      <c r="U309" s="153">
        <f t="shared" si="73"/>
        <v>1012500</v>
      </c>
    </row>
    <row r="310" spans="1:21" s="46" customFormat="1" ht="21.75" customHeight="1">
      <c r="A310" s="237">
        <v>151</v>
      </c>
      <c r="B310" s="214" t="s">
        <v>46</v>
      </c>
      <c r="C310" s="408" t="s">
        <v>995</v>
      </c>
      <c r="D310" s="280" t="s">
        <v>997</v>
      </c>
      <c r="E310" s="150" t="s">
        <v>1207</v>
      </c>
      <c r="F310" s="150" t="s">
        <v>1127</v>
      </c>
      <c r="G310" s="161">
        <v>15</v>
      </c>
      <c r="H310" s="162">
        <f>2500/2</f>
        <v>1250</v>
      </c>
      <c r="I310" s="153">
        <v>2</v>
      </c>
      <c r="J310" s="304" t="s">
        <v>25</v>
      </c>
      <c r="K310" s="163">
        <v>1</v>
      </c>
      <c r="L310" s="163">
        <v>0</v>
      </c>
      <c r="M310" s="425">
        <f t="shared" si="83"/>
        <v>937.5</v>
      </c>
      <c r="N310" s="426">
        <f t="shared" si="84"/>
        <v>984.375</v>
      </c>
      <c r="O310" s="426">
        <f t="shared" si="85"/>
        <v>52500</v>
      </c>
      <c r="P310" s="161">
        <v>1</v>
      </c>
      <c r="Q310" s="162">
        <v>1</v>
      </c>
      <c r="R310" s="162">
        <f t="shared" si="80"/>
        <v>1012500</v>
      </c>
      <c r="S310" s="162">
        <f aca="true" t="shared" si="86" ref="S310:S316">R310*Q310*P310*K310</f>
        <v>1012500</v>
      </c>
      <c r="T310" s="161">
        <f aca="true" t="shared" si="87" ref="T310:T315">L310*P310*Q310*R310</f>
        <v>0</v>
      </c>
      <c r="U310" s="153">
        <f t="shared" si="73"/>
        <v>1012500</v>
      </c>
    </row>
    <row r="311" spans="1:21" s="46" customFormat="1" ht="21.75" customHeight="1">
      <c r="A311" s="237">
        <v>152</v>
      </c>
      <c r="B311" s="214" t="s">
        <v>46</v>
      </c>
      <c r="C311" s="408" t="s">
        <v>996</v>
      </c>
      <c r="D311" s="298" t="s">
        <v>997</v>
      </c>
      <c r="E311" s="150" t="s">
        <v>1207</v>
      </c>
      <c r="F311" s="150" t="s">
        <v>1127</v>
      </c>
      <c r="G311" s="161">
        <v>15</v>
      </c>
      <c r="H311" s="162">
        <f>2500/2</f>
        <v>1250</v>
      </c>
      <c r="I311" s="153">
        <v>2</v>
      </c>
      <c r="J311" s="304" t="s">
        <v>25</v>
      </c>
      <c r="K311" s="163">
        <v>1</v>
      </c>
      <c r="L311" s="163">
        <v>0</v>
      </c>
      <c r="M311" s="425">
        <f t="shared" si="83"/>
        <v>937.5</v>
      </c>
      <c r="N311" s="426">
        <f t="shared" si="84"/>
        <v>984.375</v>
      </c>
      <c r="O311" s="426">
        <f t="shared" si="85"/>
        <v>52500</v>
      </c>
      <c r="P311" s="161">
        <v>1</v>
      </c>
      <c r="Q311" s="162">
        <v>1</v>
      </c>
      <c r="R311" s="162">
        <f t="shared" si="80"/>
        <v>1012500</v>
      </c>
      <c r="S311" s="162">
        <f t="shared" si="86"/>
        <v>1012500</v>
      </c>
      <c r="T311" s="161">
        <f t="shared" si="87"/>
        <v>0</v>
      </c>
      <c r="U311" s="153">
        <f t="shared" si="73"/>
        <v>1012500</v>
      </c>
    </row>
    <row r="312" spans="1:21" s="47" customFormat="1" ht="21.75" customHeight="1">
      <c r="A312" s="237">
        <v>153</v>
      </c>
      <c r="B312" s="214" t="s">
        <v>46</v>
      </c>
      <c r="C312" s="408" t="s">
        <v>1005</v>
      </c>
      <c r="D312" s="149" t="s">
        <v>1006</v>
      </c>
      <c r="E312" s="150" t="s">
        <v>147</v>
      </c>
      <c r="F312" s="150" t="s">
        <v>1128</v>
      </c>
      <c r="G312" s="161">
        <v>15</v>
      </c>
      <c r="H312" s="162">
        <v>1800</v>
      </c>
      <c r="I312" s="153">
        <v>2</v>
      </c>
      <c r="J312" s="304" t="s">
        <v>62</v>
      </c>
      <c r="K312" s="163">
        <v>1</v>
      </c>
      <c r="L312" s="163">
        <v>0</v>
      </c>
      <c r="M312" s="425">
        <f t="shared" si="83"/>
        <v>1350</v>
      </c>
      <c r="N312" s="426">
        <f t="shared" si="84"/>
        <v>1417.5</v>
      </c>
      <c r="O312" s="426">
        <f t="shared" si="85"/>
        <v>75600</v>
      </c>
      <c r="P312" s="161">
        <v>1</v>
      </c>
      <c r="Q312" s="162">
        <v>1</v>
      </c>
      <c r="R312" s="162">
        <f t="shared" si="80"/>
        <v>1012500</v>
      </c>
      <c r="S312" s="162">
        <f t="shared" si="86"/>
        <v>1012500</v>
      </c>
      <c r="T312" s="161">
        <f t="shared" si="87"/>
        <v>0</v>
      </c>
      <c r="U312" s="153">
        <f t="shared" si="73"/>
        <v>1012500</v>
      </c>
    </row>
    <row r="313" spans="1:21" s="47" customFormat="1" ht="21.75" customHeight="1">
      <c r="A313" s="237">
        <v>154</v>
      </c>
      <c r="B313" s="214" t="s">
        <v>46</v>
      </c>
      <c r="C313" s="408" t="s">
        <v>1051</v>
      </c>
      <c r="D313" s="149" t="s">
        <v>1050</v>
      </c>
      <c r="E313" s="150" t="s">
        <v>49</v>
      </c>
      <c r="F313" s="150"/>
      <c r="G313" s="161">
        <v>15</v>
      </c>
      <c r="H313" s="162">
        <f>3600/3</f>
        <v>1200</v>
      </c>
      <c r="I313" s="153">
        <v>2</v>
      </c>
      <c r="J313" s="304" t="s">
        <v>62</v>
      </c>
      <c r="K313" s="163">
        <v>1</v>
      </c>
      <c r="L313" s="163">
        <v>0</v>
      </c>
      <c r="M313" s="425">
        <f t="shared" si="83"/>
        <v>900</v>
      </c>
      <c r="N313" s="426">
        <f t="shared" si="84"/>
        <v>945</v>
      </c>
      <c r="O313" s="426">
        <f t="shared" si="85"/>
        <v>50400</v>
      </c>
      <c r="P313" s="161">
        <v>1</v>
      </c>
      <c r="Q313" s="162">
        <v>1</v>
      </c>
      <c r="R313" s="162">
        <f aca="true" t="shared" si="88" ref="R313:R335">45*$R$2</f>
        <v>1012500</v>
      </c>
      <c r="S313" s="162">
        <f t="shared" si="86"/>
        <v>1012500</v>
      </c>
      <c r="T313" s="161">
        <f t="shared" si="87"/>
        <v>0</v>
      </c>
      <c r="U313" s="153">
        <f t="shared" si="73"/>
        <v>1012500</v>
      </c>
    </row>
    <row r="314" spans="1:21" s="47" customFormat="1" ht="21.75" customHeight="1">
      <c r="A314" s="237">
        <v>155</v>
      </c>
      <c r="B314" s="214" t="s">
        <v>46</v>
      </c>
      <c r="C314" s="408" t="s">
        <v>1052</v>
      </c>
      <c r="D314" s="149" t="s">
        <v>1050</v>
      </c>
      <c r="E314" s="150" t="s">
        <v>49</v>
      </c>
      <c r="F314" s="150"/>
      <c r="G314" s="161">
        <v>15</v>
      </c>
      <c r="H314" s="162">
        <f>3600/3</f>
        <v>1200</v>
      </c>
      <c r="I314" s="153">
        <v>2</v>
      </c>
      <c r="J314" s="304" t="s">
        <v>62</v>
      </c>
      <c r="K314" s="163">
        <v>1</v>
      </c>
      <c r="L314" s="163">
        <v>0</v>
      </c>
      <c r="M314" s="425">
        <f t="shared" si="83"/>
        <v>900</v>
      </c>
      <c r="N314" s="426">
        <f t="shared" si="84"/>
        <v>945</v>
      </c>
      <c r="O314" s="426">
        <f t="shared" si="85"/>
        <v>50400</v>
      </c>
      <c r="P314" s="161">
        <v>1</v>
      </c>
      <c r="Q314" s="162">
        <v>1</v>
      </c>
      <c r="R314" s="162">
        <f t="shared" si="88"/>
        <v>1012500</v>
      </c>
      <c r="S314" s="162">
        <f t="shared" si="86"/>
        <v>1012500</v>
      </c>
      <c r="T314" s="161">
        <f t="shared" si="87"/>
        <v>0</v>
      </c>
      <c r="U314" s="153">
        <f t="shared" si="73"/>
        <v>1012500</v>
      </c>
    </row>
    <row r="315" spans="1:21" s="47" customFormat="1" ht="21.75" customHeight="1">
      <c r="A315" s="237">
        <v>156</v>
      </c>
      <c r="B315" s="214" t="s">
        <v>46</v>
      </c>
      <c r="C315" s="408" t="s">
        <v>1053</v>
      </c>
      <c r="D315" s="149" t="s">
        <v>1050</v>
      </c>
      <c r="E315" s="150" t="s">
        <v>49</v>
      </c>
      <c r="F315" s="150"/>
      <c r="G315" s="161">
        <v>15</v>
      </c>
      <c r="H315" s="162">
        <f>3600/3</f>
        <v>1200</v>
      </c>
      <c r="I315" s="153">
        <v>2</v>
      </c>
      <c r="J315" s="304" t="s">
        <v>62</v>
      </c>
      <c r="K315" s="163">
        <v>1</v>
      </c>
      <c r="L315" s="163">
        <v>0</v>
      </c>
      <c r="M315" s="425">
        <f t="shared" si="83"/>
        <v>900</v>
      </c>
      <c r="N315" s="426">
        <f t="shared" si="84"/>
        <v>945</v>
      </c>
      <c r="O315" s="426">
        <f t="shared" si="85"/>
        <v>50400</v>
      </c>
      <c r="P315" s="161">
        <v>1</v>
      </c>
      <c r="Q315" s="162">
        <v>1</v>
      </c>
      <c r="R315" s="162">
        <f t="shared" si="88"/>
        <v>1012500</v>
      </c>
      <c r="S315" s="162">
        <f t="shared" si="86"/>
        <v>1012500</v>
      </c>
      <c r="T315" s="161">
        <f t="shared" si="87"/>
        <v>0</v>
      </c>
      <c r="U315" s="153">
        <f t="shared" si="73"/>
        <v>1012500</v>
      </c>
    </row>
    <row r="316" spans="1:21" s="47" customFormat="1" ht="21.75" customHeight="1">
      <c r="A316" s="237">
        <v>157</v>
      </c>
      <c r="B316" s="241" t="s">
        <v>46</v>
      </c>
      <c r="C316" s="413" t="s">
        <v>1084</v>
      </c>
      <c r="D316" s="299" t="s">
        <v>1085</v>
      </c>
      <c r="E316" s="150" t="s">
        <v>332</v>
      </c>
      <c r="F316" s="242"/>
      <c r="G316" s="196">
        <v>9</v>
      </c>
      <c r="H316" s="232">
        <v>1000</v>
      </c>
      <c r="I316" s="165">
        <v>1</v>
      </c>
      <c r="J316" s="307" t="s">
        <v>62</v>
      </c>
      <c r="K316" s="231">
        <v>1</v>
      </c>
      <c r="L316" s="231">
        <v>0</v>
      </c>
      <c r="M316" s="425">
        <f t="shared" si="83"/>
        <v>450</v>
      </c>
      <c r="N316" s="426">
        <f t="shared" si="84"/>
        <v>472.5</v>
      </c>
      <c r="O316" s="426">
        <f t="shared" si="85"/>
        <v>25200</v>
      </c>
      <c r="P316" s="196">
        <v>1</v>
      </c>
      <c r="Q316" s="232">
        <v>1</v>
      </c>
      <c r="R316" s="232">
        <f t="shared" si="88"/>
        <v>1012500</v>
      </c>
      <c r="S316" s="232">
        <f t="shared" si="86"/>
        <v>1012500</v>
      </c>
      <c r="T316" s="196"/>
      <c r="U316" s="153">
        <f t="shared" si="73"/>
        <v>1012500</v>
      </c>
    </row>
    <row r="317" spans="1:21" s="49" customFormat="1" ht="21.75" customHeight="1">
      <c r="A317" s="237">
        <v>158</v>
      </c>
      <c r="B317" s="214" t="s">
        <v>17</v>
      </c>
      <c r="C317" s="408" t="s">
        <v>1149</v>
      </c>
      <c r="D317" s="284" t="s">
        <v>1148</v>
      </c>
      <c r="E317" s="150" t="s">
        <v>24</v>
      </c>
      <c r="F317" s="150"/>
      <c r="G317" s="161">
        <v>10</v>
      </c>
      <c r="H317" s="162">
        <v>1200</v>
      </c>
      <c r="I317" s="153">
        <v>2</v>
      </c>
      <c r="J317" s="304" t="s">
        <v>77</v>
      </c>
      <c r="K317" s="163">
        <v>1</v>
      </c>
      <c r="L317" s="163"/>
      <c r="M317" s="425">
        <f t="shared" si="83"/>
        <v>600</v>
      </c>
      <c r="N317" s="426">
        <f t="shared" si="84"/>
        <v>630</v>
      </c>
      <c r="O317" s="426">
        <f t="shared" si="85"/>
        <v>33600</v>
      </c>
      <c r="P317" s="161">
        <v>1</v>
      </c>
      <c r="Q317" s="162">
        <v>1</v>
      </c>
      <c r="R317" s="162">
        <f t="shared" si="88"/>
        <v>1012500</v>
      </c>
      <c r="S317" s="162">
        <f aca="true" t="shared" si="89" ref="S317:S326">R317*Q317*P317*K317</f>
        <v>1012500</v>
      </c>
      <c r="T317" s="161"/>
      <c r="U317" s="153">
        <f t="shared" si="73"/>
        <v>1012500</v>
      </c>
    </row>
    <row r="318" spans="1:21" s="49" customFormat="1" ht="21.75" customHeight="1">
      <c r="A318" s="237">
        <v>159</v>
      </c>
      <c r="B318" s="214" t="s">
        <v>17</v>
      </c>
      <c r="C318" s="408" t="s">
        <v>1150</v>
      </c>
      <c r="D318" s="284" t="s">
        <v>1148</v>
      </c>
      <c r="E318" s="150" t="s">
        <v>24</v>
      </c>
      <c r="F318" s="150"/>
      <c r="G318" s="161">
        <v>10</v>
      </c>
      <c r="H318" s="162">
        <v>1200</v>
      </c>
      <c r="I318" s="153">
        <v>2</v>
      </c>
      <c r="J318" s="304" t="s">
        <v>77</v>
      </c>
      <c r="K318" s="163">
        <v>1</v>
      </c>
      <c r="L318" s="163"/>
      <c r="M318" s="425">
        <f t="shared" si="83"/>
        <v>600</v>
      </c>
      <c r="N318" s="426">
        <f t="shared" si="84"/>
        <v>630</v>
      </c>
      <c r="O318" s="426">
        <f t="shared" si="85"/>
        <v>33600</v>
      </c>
      <c r="P318" s="161">
        <v>1</v>
      </c>
      <c r="Q318" s="162">
        <v>1</v>
      </c>
      <c r="R318" s="162">
        <f t="shared" si="88"/>
        <v>1012500</v>
      </c>
      <c r="S318" s="162">
        <f t="shared" si="89"/>
        <v>1012500</v>
      </c>
      <c r="T318" s="161"/>
      <c r="U318" s="153">
        <f t="shared" si="73"/>
        <v>1012500</v>
      </c>
    </row>
    <row r="319" spans="1:21" s="49" customFormat="1" ht="21.75" customHeight="1">
      <c r="A319" s="237">
        <v>160</v>
      </c>
      <c r="B319" s="243" t="s">
        <v>17</v>
      </c>
      <c r="C319" s="414" t="s">
        <v>1197</v>
      </c>
      <c r="D319" s="300" t="s">
        <v>1198</v>
      </c>
      <c r="E319" s="244" t="s">
        <v>24</v>
      </c>
      <c r="F319" s="244"/>
      <c r="G319" s="245">
        <v>10</v>
      </c>
      <c r="H319" s="246">
        <v>350</v>
      </c>
      <c r="I319" s="166">
        <v>2</v>
      </c>
      <c r="J319" s="308" t="s">
        <v>62</v>
      </c>
      <c r="K319" s="247">
        <v>1</v>
      </c>
      <c r="L319" s="247"/>
      <c r="M319" s="425">
        <f t="shared" si="83"/>
        <v>175</v>
      </c>
      <c r="N319" s="426">
        <f t="shared" si="84"/>
        <v>183.75</v>
      </c>
      <c r="O319" s="426">
        <f t="shared" si="85"/>
        <v>9800</v>
      </c>
      <c r="P319" s="245">
        <v>1</v>
      </c>
      <c r="Q319" s="246">
        <v>1</v>
      </c>
      <c r="R319" s="246">
        <f t="shared" si="88"/>
        <v>1012500</v>
      </c>
      <c r="S319" s="246">
        <f t="shared" si="89"/>
        <v>1012500</v>
      </c>
      <c r="T319" s="245"/>
      <c r="U319" s="153">
        <f t="shared" si="73"/>
        <v>1012500</v>
      </c>
    </row>
    <row r="320" spans="1:21" s="49" customFormat="1" ht="21.75" customHeight="1">
      <c r="A320" s="237">
        <v>161</v>
      </c>
      <c r="B320" s="214" t="s">
        <v>46</v>
      </c>
      <c r="C320" s="415" t="s">
        <v>1201</v>
      </c>
      <c r="D320" s="283" t="s">
        <v>1202</v>
      </c>
      <c r="E320" s="150" t="s">
        <v>126</v>
      </c>
      <c r="F320" s="150"/>
      <c r="G320" s="161">
        <v>14</v>
      </c>
      <c r="H320" s="162">
        <v>2000</v>
      </c>
      <c r="I320" s="153">
        <v>4</v>
      </c>
      <c r="J320" s="304" t="s">
        <v>62</v>
      </c>
      <c r="K320" s="218">
        <v>1</v>
      </c>
      <c r="L320" s="163"/>
      <c r="M320" s="425">
        <f t="shared" si="83"/>
        <v>1400</v>
      </c>
      <c r="N320" s="426">
        <f t="shared" si="84"/>
        <v>1470</v>
      </c>
      <c r="O320" s="426">
        <f t="shared" si="85"/>
        <v>78400</v>
      </c>
      <c r="P320" s="215">
        <v>1</v>
      </c>
      <c r="Q320" s="216">
        <v>1</v>
      </c>
      <c r="R320" s="162">
        <f t="shared" si="88"/>
        <v>1012500</v>
      </c>
      <c r="S320" s="162">
        <f t="shared" si="89"/>
        <v>1012500</v>
      </c>
      <c r="T320" s="161">
        <f aca="true" t="shared" si="90" ref="T320:T326">L320*P320*Q320*R320</f>
        <v>0</v>
      </c>
      <c r="U320" s="153">
        <f t="shared" si="73"/>
        <v>1012500</v>
      </c>
    </row>
    <row r="321" spans="1:21" s="49" customFormat="1" ht="21.75" customHeight="1">
      <c r="A321" s="237">
        <v>162</v>
      </c>
      <c r="B321" s="214" t="s">
        <v>46</v>
      </c>
      <c r="C321" s="415" t="s">
        <v>1502</v>
      </c>
      <c r="D321" s="283" t="s">
        <v>1202</v>
      </c>
      <c r="E321" s="150" t="s">
        <v>126</v>
      </c>
      <c r="F321" s="150"/>
      <c r="G321" s="161">
        <v>14</v>
      </c>
      <c r="H321" s="162">
        <v>2000</v>
      </c>
      <c r="I321" s="153">
        <v>4</v>
      </c>
      <c r="J321" s="304" t="s">
        <v>62</v>
      </c>
      <c r="K321" s="218">
        <v>1</v>
      </c>
      <c r="L321" s="163"/>
      <c r="M321" s="425">
        <f t="shared" si="83"/>
        <v>1400</v>
      </c>
      <c r="N321" s="426">
        <f t="shared" si="84"/>
        <v>1470</v>
      </c>
      <c r="O321" s="426">
        <f t="shared" si="85"/>
        <v>78400</v>
      </c>
      <c r="P321" s="215">
        <v>1</v>
      </c>
      <c r="Q321" s="216">
        <v>1</v>
      </c>
      <c r="R321" s="162">
        <f t="shared" si="88"/>
        <v>1012500</v>
      </c>
      <c r="S321" s="162">
        <f t="shared" si="89"/>
        <v>1012500</v>
      </c>
      <c r="T321" s="161">
        <f t="shared" si="90"/>
        <v>0</v>
      </c>
      <c r="U321" s="153">
        <f t="shared" si="73"/>
        <v>1012500</v>
      </c>
    </row>
    <row r="322" spans="1:21" s="49" customFormat="1" ht="21.75" customHeight="1">
      <c r="A322" s="237">
        <v>163</v>
      </c>
      <c r="B322" s="214" t="s">
        <v>46</v>
      </c>
      <c r="C322" s="415" t="s">
        <v>1204</v>
      </c>
      <c r="D322" s="283" t="s">
        <v>1205</v>
      </c>
      <c r="E322" s="150" t="s">
        <v>147</v>
      </c>
      <c r="F322" s="150"/>
      <c r="G322" s="161">
        <v>12</v>
      </c>
      <c r="H322" s="162">
        <v>800</v>
      </c>
      <c r="I322" s="153">
        <v>2</v>
      </c>
      <c r="J322" s="304" t="s">
        <v>40</v>
      </c>
      <c r="K322" s="218">
        <v>1</v>
      </c>
      <c r="L322" s="163"/>
      <c r="M322" s="425">
        <f t="shared" si="83"/>
        <v>480</v>
      </c>
      <c r="N322" s="426">
        <f t="shared" si="84"/>
        <v>504</v>
      </c>
      <c r="O322" s="426">
        <f t="shared" si="85"/>
        <v>26880</v>
      </c>
      <c r="P322" s="215">
        <v>1</v>
      </c>
      <c r="Q322" s="216">
        <v>1</v>
      </c>
      <c r="R322" s="162">
        <f t="shared" si="88"/>
        <v>1012500</v>
      </c>
      <c r="S322" s="162">
        <f t="shared" si="89"/>
        <v>1012500</v>
      </c>
      <c r="T322" s="161">
        <f t="shared" si="90"/>
        <v>0</v>
      </c>
      <c r="U322" s="153">
        <f t="shared" si="73"/>
        <v>1012500</v>
      </c>
    </row>
    <row r="323" spans="1:21" s="49" customFormat="1" ht="21.75" customHeight="1">
      <c r="A323" s="237">
        <v>164</v>
      </c>
      <c r="B323" s="214" t="s">
        <v>46</v>
      </c>
      <c r="C323" s="415" t="s">
        <v>1556</v>
      </c>
      <c r="D323" s="283" t="s">
        <v>1557</v>
      </c>
      <c r="E323" s="150" t="s">
        <v>332</v>
      </c>
      <c r="F323" s="150"/>
      <c r="G323" s="161">
        <v>22</v>
      </c>
      <c r="H323" s="317">
        <v>700</v>
      </c>
      <c r="I323" s="153">
        <v>3</v>
      </c>
      <c r="J323" s="304" t="s">
        <v>1558</v>
      </c>
      <c r="K323" s="218">
        <v>1</v>
      </c>
      <c r="L323" s="163">
        <v>1</v>
      </c>
      <c r="M323" s="425">
        <f t="shared" si="83"/>
        <v>770</v>
      </c>
      <c r="N323" s="426">
        <f t="shared" si="84"/>
        <v>808.5</v>
      </c>
      <c r="O323" s="426">
        <f t="shared" si="85"/>
        <v>43120</v>
      </c>
      <c r="P323" s="215">
        <v>1</v>
      </c>
      <c r="Q323" s="216">
        <v>1</v>
      </c>
      <c r="R323" s="317">
        <f>45*$R$2</f>
        <v>1012500</v>
      </c>
      <c r="S323" s="317">
        <f>R323*Q323*P323*K323</f>
        <v>1012500</v>
      </c>
      <c r="T323" s="161">
        <f>L323*P323*Q323*R323</f>
        <v>1012500</v>
      </c>
      <c r="U323" s="153">
        <f>S323+T323</f>
        <v>2025000</v>
      </c>
    </row>
    <row r="324" spans="1:21" s="49" customFormat="1" ht="21.75" customHeight="1">
      <c r="A324" s="237">
        <v>165</v>
      </c>
      <c r="B324" s="214" t="s">
        <v>46</v>
      </c>
      <c r="C324" s="415" t="s">
        <v>1330</v>
      </c>
      <c r="D324" s="283" t="s">
        <v>1329</v>
      </c>
      <c r="E324" s="150" t="s">
        <v>351</v>
      </c>
      <c r="F324" s="150"/>
      <c r="G324" s="161">
        <v>15</v>
      </c>
      <c r="H324" s="162">
        <v>2500</v>
      </c>
      <c r="I324" s="153">
        <v>1</v>
      </c>
      <c r="J324" s="304" t="s">
        <v>77</v>
      </c>
      <c r="K324" s="218">
        <v>1</v>
      </c>
      <c r="L324" s="163"/>
      <c r="M324" s="425">
        <f t="shared" si="83"/>
        <v>1875</v>
      </c>
      <c r="N324" s="426">
        <f t="shared" si="84"/>
        <v>1968.75</v>
      </c>
      <c r="O324" s="426">
        <f t="shared" si="85"/>
        <v>105000</v>
      </c>
      <c r="P324" s="215">
        <v>1</v>
      </c>
      <c r="Q324" s="216">
        <v>1</v>
      </c>
      <c r="R324" s="162">
        <f t="shared" si="88"/>
        <v>1012500</v>
      </c>
      <c r="S324" s="162">
        <f t="shared" si="89"/>
        <v>1012500</v>
      </c>
      <c r="T324" s="161">
        <f t="shared" si="90"/>
        <v>0</v>
      </c>
      <c r="U324" s="153">
        <f t="shared" si="73"/>
        <v>1012500</v>
      </c>
    </row>
    <row r="325" spans="1:21" s="49" customFormat="1" ht="21.75" customHeight="1">
      <c r="A325" s="237">
        <v>166</v>
      </c>
      <c r="B325" s="214" t="s">
        <v>46</v>
      </c>
      <c r="C325" s="415" t="s">
        <v>1331</v>
      </c>
      <c r="D325" s="283" t="s">
        <v>1329</v>
      </c>
      <c r="E325" s="150" t="s">
        <v>351</v>
      </c>
      <c r="F325" s="150"/>
      <c r="G325" s="161">
        <v>15</v>
      </c>
      <c r="H325" s="162">
        <v>2500</v>
      </c>
      <c r="I325" s="153">
        <v>1</v>
      </c>
      <c r="J325" s="304" t="s">
        <v>77</v>
      </c>
      <c r="K325" s="218">
        <v>1</v>
      </c>
      <c r="L325" s="163"/>
      <c r="M325" s="425">
        <f t="shared" si="83"/>
        <v>1875</v>
      </c>
      <c r="N325" s="426">
        <f t="shared" si="84"/>
        <v>1968.75</v>
      </c>
      <c r="O325" s="426">
        <f t="shared" si="85"/>
        <v>105000</v>
      </c>
      <c r="P325" s="215">
        <v>1</v>
      </c>
      <c r="Q325" s="216">
        <v>1</v>
      </c>
      <c r="R325" s="162">
        <f t="shared" si="88"/>
        <v>1012500</v>
      </c>
      <c r="S325" s="162">
        <f t="shared" si="89"/>
        <v>1012500</v>
      </c>
      <c r="T325" s="161">
        <f t="shared" si="90"/>
        <v>0</v>
      </c>
      <c r="U325" s="153">
        <f t="shared" si="73"/>
        <v>1012500</v>
      </c>
    </row>
    <row r="326" spans="1:21" s="49" customFormat="1" ht="21.75" customHeight="1">
      <c r="A326" s="237">
        <v>167</v>
      </c>
      <c r="B326" s="214" t="s">
        <v>46</v>
      </c>
      <c r="C326" s="415" t="s">
        <v>1332</v>
      </c>
      <c r="D326" s="283" t="s">
        <v>1329</v>
      </c>
      <c r="E326" s="150" t="s">
        <v>351</v>
      </c>
      <c r="F326" s="150"/>
      <c r="G326" s="161">
        <v>15</v>
      </c>
      <c r="H326" s="162">
        <v>2500</v>
      </c>
      <c r="I326" s="153">
        <v>1</v>
      </c>
      <c r="J326" s="304" t="s">
        <v>77</v>
      </c>
      <c r="K326" s="218">
        <v>1</v>
      </c>
      <c r="L326" s="163"/>
      <c r="M326" s="425">
        <f t="shared" si="83"/>
        <v>1875</v>
      </c>
      <c r="N326" s="426">
        <f t="shared" si="84"/>
        <v>1968.75</v>
      </c>
      <c r="O326" s="426">
        <f t="shared" si="85"/>
        <v>105000</v>
      </c>
      <c r="P326" s="215">
        <v>1</v>
      </c>
      <c r="Q326" s="216">
        <v>1</v>
      </c>
      <c r="R326" s="162">
        <f t="shared" si="88"/>
        <v>1012500</v>
      </c>
      <c r="S326" s="162">
        <f t="shared" si="89"/>
        <v>1012500</v>
      </c>
      <c r="T326" s="161">
        <f t="shared" si="90"/>
        <v>0</v>
      </c>
      <c r="U326" s="153">
        <f t="shared" si="73"/>
        <v>1012500</v>
      </c>
    </row>
    <row r="327" spans="1:21" s="49" customFormat="1" ht="21.75" customHeight="1">
      <c r="A327" s="237">
        <v>168</v>
      </c>
      <c r="B327" s="214" t="s">
        <v>46</v>
      </c>
      <c r="C327" s="415" t="s">
        <v>1368</v>
      </c>
      <c r="D327" s="280" t="s">
        <v>1369</v>
      </c>
      <c r="E327" s="150" t="s">
        <v>1207</v>
      </c>
      <c r="F327" s="150"/>
      <c r="G327" s="161">
        <v>11</v>
      </c>
      <c r="H327" s="162">
        <v>1200</v>
      </c>
      <c r="I327" s="153">
        <v>4</v>
      </c>
      <c r="J327" s="304" t="s">
        <v>66</v>
      </c>
      <c r="K327" s="218">
        <v>1</v>
      </c>
      <c r="L327" s="163"/>
      <c r="M327" s="428">
        <f aca="true" t="shared" si="91" ref="M327:M335">G327*H327*5/100</f>
        <v>660</v>
      </c>
      <c r="N327" s="427">
        <f aca="true" t="shared" si="92" ref="N327:N335">M327*0.15*7</f>
        <v>693</v>
      </c>
      <c r="O327" s="427">
        <f aca="true" t="shared" si="93" ref="O327:O335">M327*7.7*7+N327*2</f>
        <v>36960</v>
      </c>
      <c r="P327" s="215">
        <v>1</v>
      </c>
      <c r="Q327" s="216">
        <v>1</v>
      </c>
      <c r="R327" s="162">
        <f t="shared" si="88"/>
        <v>1012500</v>
      </c>
      <c r="S327" s="162">
        <f aca="true" t="shared" si="94" ref="S327:S335">R327*Q327*P327*K327</f>
        <v>1012500</v>
      </c>
      <c r="T327" s="161">
        <f aca="true" t="shared" si="95" ref="T327:T335">L327*P327*Q327*R327</f>
        <v>0</v>
      </c>
      <c r="U327" s="153">
        <f aca="true" t="shared" si="96" ref="U327:U335">S327+T327</f>
        <v>1012500</v>
      </c>
    </row>
    <row r="328" spans="1:34" s="53" customFormat="1" ht="21.75" customHeight="1">
      <c r="A328" s="237">
        <v>169</v>
      </c>
      <c r="B328" s="214" t="s">
        <v>17</v>
      </c>
      <c r="C328" s="415" t="s">
        <v>1402</v>
      </c>
      <c r="D328" s="280" t="s">
        <v>1403</v>
      </c>
      <c r="E328" s="150" t="s">
        <v>1207</v>
      </c>
      <c r="F328" s="150"/>
      <c r="G328" s="161">
        <v>5</v>
      </c>
      <c r="H328" s="162">
        <v>450</v>
      </c>
      <c r="I328" s="153">
        <v>1</v>
      </c>
      <c r="J328" s="304" t="s">
        <v>62</v>
      </c>
      <c r="K328" s="218">
        <v>1</v>
      </c>
      <c r="L328" s="163"/>
      <c r="M328" s="425">
        <f>G328*H328/5</f>
        <v>450</v>
      </c>
      <c r="N328" s="426">
        <f>M328*0.15*5.5</f>
        <v>371.25</v>
      </c>
      <c r="O328" s="426">
        <f>M328*7.7*5.5+N328*2</f>
        <v>19800</v>
      </c>
      <c r="P328" s="215">
        <v>1</v>
      </c>
      <c r="Q328" s="216">
        <v>1</v>
      </c>
      <c r="R328" s="162">
        <f t="shared" si="88"/>
        <v>1012500</v>
      </c>
      <c r="S328" s="162">
        <f t="shared" si="94"/>
        <v>1012500</v>
      </c>
      <c r="T328" s="161">
        <f t="shared" si="95"/>
        <v>0</v>
      </c>
      <c r="U328" s="153">
        <f t="shared" si="96"/>
        <v>1012500</v>
      </c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s="53" customFormat="1" ht="21.75" customHeight="1">
      <c r="A329" s="237">
        <v>170</v>
      </c>
      <c r="B329" s="214" t="s">
        <v>46</v>
      </c>
      <c r="C329" s="415" t="s">
        <v>1406</v>
      </c>
      <c r="D329" s="280" t="s">
        <v>1407</v>
      </c>
      <c r="E329" s="150" t="s">
        <v>254</v>
      </c>
      <c r="F329" s="150"/>
      <c r="G329" s="161">
        <v>15</v>
      </c>
      <c r="H329" s="162">
        <v>1900</v>
      </c>
      <c r="I329" s="153">
        <v>3</v>
      </c>
      <c r="J329" s="304" t="s">
        <v>40</v>
      </c>
      <c r="K329" s="218">
        <v>1</v>
      </c>
      <c r="L329" s="163"/>
      <c r="M329" s="428">
        <f t="shared" si="91"/>
        <v>1425</v>
      </c>
      <c r="N329" s="427">
        <f t="shared" si="92"/>
        <v>1496.25</v>
      </c>
      <c r="O329" s="427">
        <f t="shared" si="93"/>
        <v>79800</v>
      </c>
      <c r="P329" s="215">
        <v>1</v>
      </c>
      <c r="Q329" s="216">
        <v>1</v>
      </c>
      <c r="R329" s="162">
        <f t="shared" si="88"/>
        <v>1012500</v>
      </c>
      <c r="S329" s="162">
        <f t="shared" si="94"/>
        <v>1012500</v>
      </c>
      <c r="T329" s="161">
        <f t="shared" si="95"/>
        <v>0</v>
      </c>
      <c r="U329" s="153">
        <f t="shared" si="96"/>
        <v>1012500</v>
      </c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s="53" customFormat="1" ht="21.75" customHeight="1">
      <c r="A330" s="237">
        <v>171</v>
      </c>
      <c r="B330" s="214" t="s">
        <v>46</v>
      </c>
      <c r="C330" s="415" t="s">
        <v>1417</v>
      </c>
      <c r="D330" s="280" t="s">
        <v>1416</v>
      </c>
      <c r="E330" s="150" t="s">
        <v>351</v>
      </c>
      <c r="F330" s="150"/>
      <c r="G330" s="161">
        <v>12</v>
      </c>
      <c r="H330" s="162">
        <v>2000</v>
      </c>
      <c r="I330" s="153">
        <v>2</v>
      </c>
      <c r="J330" s="304" t="s">
        <v>25</v>
      </c>
      <c r="K330" s="218">
        <v>1</v>
      </c>
      <c r="L330" s="163"/>
      <c r="M330" s="428">
        <f t="shared" si="91"/>
        <v>1200</v>
      </c>
      <c r="N330" s="427">
        <f t="shared" si="92"/>
        <v>1260</v>
      </c>
      <c r="O330" s="427">
        <f t="shared" si="93"/>
        <v>67200</v>
      </c>
      <c r="P330" s="215">
        <v>1</v>
      </c>
      <c r="Q330" s="216">
        <v>1</v>
      </c>
      <c r="R330" s="162">
        <f t="shared" si="88"/>
        <v>1012500</v>
      </c>
      <c r="S330" s="162">
        <f t="shared" si="94"/>
        <v>1012500</v>
      </c>
      <c r="T330" s="161">
        <f t="shared" si="95"/>
        <v>0</v>
      </c>
      <c r="U330" s="153">
        <f t="shared" si="96"/>
        <v>1012500</v>
      </c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s="53" customFormat="1" ht="21.75" customHeight="1">
      <c r="A331" s="237">
        <v>172</v>
      </c>
      <c r="B331" s="214" t="s">
        <v>46</v>
      </c>
      <c r="C331" s="415" t="s">
        <v>1418</v>
      </c>
      <c r="D331" s="280" t="s">
        <v>1416</v>
      </c>
      <c r="E331" s="150" t="s">
        <v>351</v>
      </c>
      <c r="F331" s="150"/>
      <c r="G331" s="161">
        <v>12</v>
      </c>
      <c r="H331" s="162">
        <v>2000</v>
      </c>
      <c r="I331" s="153">
        <v>2</v>
      </c>
      <c r="J331" s="304" t="s">
        <v>25</v>
      </c>
      <c r="K331" s="218">
        <v>1</v>
      </c>
      <c r="L331" s="163"/>
      <c r="M331" s="428">
        <f t="shared" si="91"/>
        <v>1200</v>
      </c>
      <c r="N331" s="427">
        <f t="shared" si="92"/>
        <v>1260</v>
      </c>
      <c r="O331" s="427">
        <f t="shared" si="93"/>
        <v>67200</v>
      </c>
      <c r="P331" s="215">
        <v>1</v>
      </c>
      <c r="Q331" s="216">
        <v>1</v>
      </c>
      <c r="R331" s="162">
        <f t="shared" si="88"/>
        <v>1012500</v>
      </c>
      <c r="S331" s="162">
        <f t="shared" si="94"/>
        <v>1012500</v>
      </c>
      <c r="T331" s="161">
        <f t="shared" si="95"/>
        <v>0</v>
      </c>
      <c r="U331" s="153">
        <f t="shared" si="96"/>
        <v>1012500</v>
      </c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s="53" customFormat="1" ht="21.75" customHeight="1">
      <c r="A332" s="237">
        <v>173</v>
      </c>
      <c r="B332" s="214" t="s">
        <v>46</v>
      </c>
      <c r="C332" s="415" t="s">
        <v>1419</v>
      </c>
      <c r="D332" s="280" t="s">
        <v>1416</v>
      </c>
      <c r="E332" s="150" t="s">
        <v>351</v>
      </c>
      <c r="F332" s="150"/>
      <c r="G332" s="161">
        <v>12</v>
      </c>
      <c r="H332" s="162">
        <v>2000</v>
      </c>
      <c r="I332" s="153">
        <v>2</v>
      </c>
      <c r="J332" s="304" t="s">
        <v>25</v>
      </c>
      <c r="K332" s="218">
        <v>1</v>
      </c>
      <c r="L332" s="163"/>
      <c r="M332" s="428">
        <f t="shared" si="91"/>
        <v>1200</v>
      </c>
      <c r="N332" s="427">
        <f t="shared" si="92"/>
        <v>1260</v>
      </c>
      <c r="O332" s="427">
        <f t="shared" si="93"/>
        <v>67200</v>
      </c>
      <c r="P332" s="215">
        <v>1</v>
      </c>
      <c r="Q332" s="216">
        <v>1</v>
      </c>
      <c r="R332" s="162">
        <f t="shared" si="88"/>
        <v>1012500</v>
      </c>
      <c r="S332" s="162">
        <f t="shared" si="94"/>
        <v>1012500</v>
      </c>
      <c r="T332" s="161">
        <f t="shared" si="95"/>
        <v>0</v>
      </c>
      <c r="U332" s="153">
        <f t="shared" si="96"/>
        <v>1012500</v>
      </c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21" s="47" customFormat="1" ht="21.75" customHeight="1">
      <c r="A333" s="237">
        <v>174</v>
      </c>
      <c r="B333" s="214" t="s">
        <v>17</v>
      </c>
      <c r="C333" s="408" t="s">
        <v>1470</v>
      </c>
      <c r="D333" s="280" t="s">
        <v>366</v>
      </c>
      <c r="E333" s="150" t="s">
        <v>24</v>
      </c>
      <c r="F333" s="150"/>
      <c r="G333" s="161">
        <v>9</v>
      </c>
      <c r="H333" s="162">
        <v>400</v>
      </c>
      <c r="I333" s="153">
        <v>1</v>
      </c>
      <c r="J333" s="304" t="s">
        <v>77</v>
      </c>
      <c r="K333" s="163">
        <v>1</v>
      </c>
      <c r="L333" s="163">
        <v>0</v>
      </c>
      <c r="M333" s="425">
        <f>G333*H333/5</f>
        <v>720</v>
      </c>
      <c r="N333" s="426">
        <f>M333*0.15*5.5</f>
        <v>594</v>
      </c>
      <c r="O333" s="426">
        <f>M333*7.7*5.5+N333*2</f>
        <v>31680</v>
      </c>
      <c r="P333" s="161">
        <v>1</v>
      </c>
      <c r="Q333" s="162">
        <v>1</v>
      </c>
      <c r="R333" s="162">
        <f t="shared" si="88"/>
        <v>1012500</v>
      </c>
      <c r="S333" s="162">
        <f t="shared" si="94"/>
        <v>1012500</v>
      </c>
      <c r="T333" s="161">
        <f t="shared" si="95"/>
        <v>0</v>
      </c>
      <c r="U333" s="153">
        <f t="shared" si="96"/>
        <v>1012500</v>
      </c>
    </row>
    <row r="334" spans="1:21" s="47" customFormat="1" ht="21.75" customHeight="1">
      <c r="A334" s="237">
        <v>175</v>
      </c>
      <c r="B334" s="214" t="s">
        <v>46</v>
      </c>
      <c r="C334" s="408" t="s">
        <v>1496</v>
      </c>
      <c r="D334" s="280" t="s">
        <v>1495</v>
      </c>
      <c r="E334" s="150" t="s">
        <v>1207</v>
      </c>
      <c r="F334" s="150"/>
      <c r="G334" s="161">
        <v>12</v>
      </c>
      <c r="H334" s="162">
        <v>4500</v>
      </c>
      <c r="I334" s="153">
        <v>4</v>
      </c>
      <c r="J334" s="304" t="s">
        <v>25</v>
      </c>
      <c r="K334" s="163">
        <v>1</v>
      </c>
      <c r="L334" s="163"/>
      <c r="M334" s="428">
        <f t="shared" si="91"/>
        <v>2700</v>
      </c>
      <c r="N334" s="427">
        <f t="shared" si="92"/>
        <v>2835</v>
      </c>
      <c r="O334" s="427">
        <f t="shared" si="93"/>
        <v>151200</v>
      </c>
      <c r="P334" s="161">
        <v>1</v>
      </c>
      <c r="Q334" s="162">
        <v>1</v>
      </c>
      <c r="R334" s="162">
        <f t="shared" si="88"/>
        <v>1012500</v>
      </c>
      <c r="S334" s="162">
        <f t="shared" si="94"/>
        <v>1012500</v>
      </c>
      <c r="T334" s="161">
        <f t="shared" si="95"/>
        <v>0</v>
      </c>
      <c r="U334" s="153">
        <f t="shared" si="96"/>
        <v>1012500</v>
      </c>
    </row>
    <row r="335" spans="1:21" s="47" customFormat="1" ht="21.75" customHeight="1">
      <c r="A335" s="237">
        <v>176</v>
      </c>
      <c r="B335" s="214" t="s">
        <v>46</v>
      </c>
      <c r="C335" s="408" t="s">
        <v>1497</v>
      </c>
      <c r="D335" s="280" t="s">
        <v>1495</v>
      </c>
      <c r="E335" s="150" t="s">
        <v>1207</v>
      </c>
      <c r="F335" s="150"/>
      <c r="G335" s="161">
        <v>12</v>
      </c>
      <c r="H335" s="162">
        <v>4500</v>
      </c>
      <c r="I335" s="153">
        <v>4</v>
      </c>
      <c r="J335" s="304" t="s">
        <v>25</v>
      </c>
      <c r="K335" s="163">
        <v>1</v>
      </c>
      <c r="L335" s="163"/>
      <c r="M335" s="428">
        <f t="shared" si="91"/>
        <v>2700</v>
      </c>
      <c r="N335" s="427">
        <f t="shared" si="92"/>
        <v>2835</v>
      </c>
      <c r="O335" s="427">
        <f t="shared" si="93"/>
        <v>151200</v>
      </c>
      <c r="P335" s="161">
        <v>1</v>
      </c>
      <c r="Q335" s="162">
        <v>1</v>
      </c>
      <c r="R335" s="162">
        <f t="shared" si="88"/>
        <v>1012500</v>
      </c>
      <c r="S335" s="162">
        <f t="shared" si="94"/>
        <v>1012500</v>
      </c>
      <c r="T335" s="161">
        <f t="shared" si="95"/>
        <v>0</v>
      </c>
      <c r="U335" s="153">
        <f t="shared" si="96"/>
        <v>1012500</v>
      </c>
    </row>
    <row r="336" spans="1:21" s="47" customFormat="1" ht="21.75" customHeight="1">
      <c r="A336" s="237">
        <v>177</v>
      </c>
      <c r="B336" s="214" t="s">
        <v>17</v>
      </c>
      <c r="C336" s="408" t="s">
        <v>1545</v>
      </c>
      <c r="D336" s="280" t="s">
        <v>1546</v>
      </c>
      <c r="E336" s="150" t="s">
        <v>91</v>
      </c>
      <c r="F336" s="150"/>
      <c r="G336" s="161">
        <f>10+1</f>
        <v>11</v>
      </c>
      <c r="H336" s="317">
        <v>450</v>
      </c>
      <c r="I336" s="153">
        <v>1</v>
      </c>
      <c r="J336" s="304" t="s">
        <v>77</v>
      </c>
      <c r="K336" s="163">
        <v>1</v>
      </c>
      <c r="L336" s="163"/>
      <c r="M336" s="426">
        <f>G336*H336/5</f>
        <v>990</v>
      </c>
      <c r="N336" s="426">
        <f>M336*0.15*5.5</f>
        <v>816.75</v>
      </c>
      <c r="O336" s="426">
        <f>M336*7.7*5.5+N336*2</f>
        <v>43560</v>
      </c>
      <c r="P336" s="161">
        <v>1</v>
      </c>
      <c r="Q336" s="317">
        <v>1</v>
      </c>
      <c r="R336" s="317">
        <f>45*$R$2</f>
        <v>1012500</v>
      </c>
      <c r="S336" s="317">
        <f>R336*Q336*P336*K336</f>
        <v>1012500</v>
      </c>
      <c r="T336" s="161">
        <f>L336*P336*Q336*R336</f>
        <v>0</v>
      </c>
      <c r="U336" s="153">
        <f>S336+T336</f>
        <v>1012500</v>
      </c>
    </row>
    <row r="337" spans="1:21" s="42" customFormat="1" ht="22.5" customHeight="1">
      <c r="A337" s="433"/>
      <c r="B337" s="372" t="s">
        <v>1519</v>
      </c>
      <c r="C337" s="430"/>
      <c r="D337" s="430"/>
      <c r="E337" s="372"/>
      <c r="F337" s="372"/>
      <c r="G337" s="431"/>
      <c r="H337" s="372"/>
      <c r="I337" s="372"/>
      <c r="J337" s="432"/>
      <c r="K337" s="372"/>
      <c r="L337" s="372"/>
      <c r="M337" s="372"/>
      <c r="N337" s="372"/>
      <c r="O337" s="372"/>
      <c r="P337" s="436">
        <f>SUM(P160:P336)</f>
        <v>177</v>
      </c>
      <c r="Q337" s="372"/>
      <c r="R337" s="372"/>
      <c r="S337" s="372"/>
      <c r="T337" s="372"/>
      <c r="U337" s="434"/>
    </row>
    <row r="338" spans="1:22" s="47" customFormat="1" ht="21.75" customHeight="1">
      <c r="A338" s="213">
        <v>1</v>
      </c>
      <c r="B338" s="448" t="s">
        <v>46</v>
      </c>
      <c r="C338" s="449" t="s">
        <v>358</v>
      </c>
      <c r="D338" s="450" t="s">
        <v>359</v>
      </c>
      <c r="E338" s="451" t="s">
        <v>338</v>
      </c>
      <c r="F338" s="451"/>
      <c r="G338" s="452">
        <v>5</v>
      </c>
      <c r="H338" s="453">
        <v>350</v>
      </c>
      <c r="I338" s="454">
        <v>1</v>
      </c>
      <c r="J338" s="455" t="s">
        <v>1012</v>
      </c>
      <c r="K338" s="456">
        <v>1</v>
      </c>
      <c r="L338" s="456">
        <v>1</v>
      </c>
      <c r="M338" s="459">
        <f>H338*G338*5/100</f>
        <v>87.5</v>
      </c>
      <c r="N338" s="453">
        <f>M338*0.15*7</f>
        <v>91.875</v>
      </c>
      <c r="O338" s="453">
        <f>M338*7.7+N338*2</f>
        <v>857.5</v>
      </c>
      <c r="P338" s="452"/>
      <c r="Q338" s="453">
        <v>1</v>
      </c>
      <c r="R338" s="453">
        <f>22*$R$2</f>
        <v>495000</v>
      </c>
      <c r="S338" s="453">
        <f>R338*Q338*P338*K338</f>
        <v>0</v>
      </c>
      <c r="T338" s="452">
        <f>L338*P338*Q338*R338</f>
        <v>0</v>
      </c>
      <c r="U338" s="454">
        <f t="shared" si="73"/>
        <v>0</v>
      </c>
      <c r="V338" s="457" t="s">
        <v>1554</v>
      </c>
    </row>
    <row r="339" spans="1:21" s="47" customFormat="1" ht="21.75" customHeight="1">
      <c r="A339" s="213">
        <v>2</v>
      </c>
      <c r="B339" s="214" t="s">
        <v>17</v>
      </c>
      <c r="C339" s="416" t="s">
        <v>1552</v>
      </c>
      <c r="D339" s="280" t="s">
        <v>360</v>
      </c>
      <c r="E339" s="150" t="s">
        <v>111</v>
      </c>
      <c r="F339" s="150"/>
      <c r="G339" s="161">
        <v>7</v>
      </c>
      <c r="H339" s="162">
        <v>400</v>
      </c>
      <c r="I339" s="153">
        <v>1</v>
      </c>
      <c r="J339" s="304" t="s">
        <v>62</v>
      </c>
      <c r="K339" s="163">
        <v>1</v>
      </c>
      <c r="L339" s="163">
        <v>0</v>
      </c>
      <c r="M339" s="426">
        <f>G339*H339/5</f>
        <v>560</v>
      </c>
      <c r="N339" s="426">
        <f>M339*0.15*5.5</f>
        <v>462</v>
      </c>
      <c r="O339" s="426">
        <f>M339*7.7*5.5+N339*2</f>
        <v>24640</v>
      </c>
      <c r="P339" s="161">
        <v>1</v>
      </c>
      <c r="Q339" s="162">
        <v>1</v>
      </c>
      <c r="R339" s="162">
        <f>22*$R$2</f>
        <v>495000</v>
      </c>
      <c r="S339" s="162">
        <f>R339*Q339*P339*K339</f>
        <v>495000</v>
      </c>
      <c r="T339" s="161">
        <f>L339*P339*Q339*R339</f>
        <v>0</v>
      </c>
      <c r="U339" s="153">
        <f>S339+T339</f>
        <v>495000</v>
      </c>
    </row>
    <row r="340" spans="1:21" s="47" customFormat="1" ht="21.75" customHeight="1">
      <c r="A340" s="213">
        <v>3</v>
      </c>
      <c r="B340" s="214" t="s">
        <v>46</v>
      </c>
      <c r="C340" s="416" t="s">
        <v>361</v>
      </c>
      <c r="D340" s="280" t="s">
        <v>362</v>
      </c>
      <c r="E340" s="150" t="s">
        <v>332</v>
      </c>
      <c r="F340" s="150"/>
      <c r="G340" s="161">
        <v>14</v>
      </c>
      <c r="H340" s="162">
        <v>800</v>
      </c>
      <c r="I340" s="153">
        <v>1</v>
      </c>
      <c r="J340" s="304" t="s">
        <v>25</v>
      </c>
      <c r="K340" s="163">
        <v>1</v>
      </c>
      <c r="L340" s="163">
        <v>0</v>
      </c>
      <c r="M340" s="324">
        <f>H340*G340*5/100</f>
        <v>560</v>
      </c>
      <c r="N340" s="317">
        <f>M340*0.15*7</f>
        <v>588</v>
      </c>
      <c r="O340" s="317">
        <f>M340*7.7+N340*2</f>
        <v>5488</v>
      </c>
      <c r="P340" s="161">
        <v>1</v>
      </c>
      <c r="Q340" s="162">
        <v>1</v>
      </c>
      <c r="R340" s="162">
        <f>22*$R$2</f>
        <v>495000</v>
      </c>
      <c r="S340" s="162">
        <f>R340*Q340*P340*K340</f>
        <v>495000</v>
      </c>
      <c r="T340" s="161">
        <f>L340*P340*Q340*R340</f>
        <v>0</v>
      </c>
      <c r="U340" s="153">
        <f>S340+T340</f>
        <v>495000</v>
      </c>
    </row>
    <row r="341" spans="1:21" s="47" customFormat="1" ht="21.75" customHeight="1">
      <c r="A341" s="213">
        <v>4</v>
      </c>
      <c r="B341" s="214" t="s">
        <v>46</v>
      </c>
      <c r="C341" s="416" t="s">
        <v>363</v>
      </c>
      <c r="D341" s="280" t="s">
        <v>364</v>
      </c>
      <c r="E341" s="150" t="s">
        <v>332</v>
      </c>
      <c r="F341" s="150"/>
      <c r="G341" s="161">
        <v>17</v>
      </c>
      <c r="H341" s="162">
        <v>600</v>
      </c>
      <c r="I341" s="153">
        <v>2</v>
      </c>
      <c r="J341" s="304" t="s">
        <v>1012</v>
      </c>
      <c r="K341" s="163">
        <v>1</v>
      </c>
      <c r="L341" s="163">
        <v>1</v>
      </c>
      <c r="M341" s="324">
        <f>H341*G341*5/100</f>
        <v>510</v>
      </c>
      <c r="N341" s="317">
        <f>M341*0.15*7</f>
        <v>535.5</v>
      </c>
      <c r="O341" s="317">
        <f>M341*7.7+N341*2</f>
        <v>4998</v>
      </c>
      <c r="P341" s="161">
        <v>1</v>
      </c>
      <c r="Q341" s="162">
        <v>1</v>
      </c>
      <c r="R341" s="162">
        <f>22*$R$2</f>
        <v>495000</v>
      </c>
      <c r="S341" s="162">
        <f>R341*Q341*P341*K341</f>
        <v>495000</v>
      </c>
      <c r="T341" s="161">
        <f>L341*P341*Q341*R341</f>
        <v>495000</v>
      </c>
      <c r="U341" s="153">
        <f>S341+T341</f>
        <v>990000</v>
      </c>
    </row>
    <row r="342" spans="1:21" s="47" customFormat="1" ht="21.75" customHeight="1" thickBot="1">
      <c r="A342" s="213">
        <v>5</v>
      </c>
      <c r="B342" s="214" t="s">
        <v>46</v>
      </c>
      <c r="C342" s="416" t="s">
        <v>365</v>
      </c>
      <c r="D342" s="280" t="s">
        <v>364</v>
      </c>
      <c r="E342" s="150" t="s">
        <v>332</v>
      </c>
      <c r="F342" s="150"/>
      <c r="G342" s="161">
        <v>17</v>
      </c>
      <c r="H342" s="162">
        <v>600</v>
      </c>
      <c r="I342" s="153">
        <v>2</v>
      </c>
      <c r="J342" s="304" t="s">
        <v>1012</v>
      </c>
      <c r="K342" s="163">
        <v>1</v>
      </c>
      <c r="L342" s="163">
        <v>1</v>
      </c>
      <c r="M342" s="324">
        <f>H342*G342*5/100</f>
        <v>510</v>
      </c>
      <c r="N342" s="317">
        <f>M342*0.15*7</f>
        <v>535.5</v>
      </c>
      <c r="O342" s="317">
        <f>M342*7.7+N342*2</f>
        <v>4998</v>
      </c>
      <c r="P342" s="161">
        <v>1</v>
      </c>
      <c r="Q342" s="162">
        <v>1</v>
      </c>
      <c r="R342" s="162">
        <f>22*$R$2</f>
        <v>495000</v>
      </c>
      <c r="S342" s="162">
        <f>R342*Q342*P342*K342</f>
        <v>495000</v>
      </c>
      <c r="T342" s="161">
        <f>L342*P342*Q342*R342</f>
        <v>495000</v>
      </c>
      <c r="U342" s="153">
        <f>S342+T342</f>
        <v>990000</v>
      </c>
    </row>
    <row r="343" spans="1:21" s="42" customFormat="1" ht="22.5" customHeight="1">
      <c r="A343" s="435">
        <f>A63+A153+A336+A342</f>
        <v>328</v>
      </c>
      <c r="B343" s="368"/>
      <c r="C343" s="369"/>
      <c r="D343" s="369"/>
      <c r="E343" s="368"/>
      <c r="F343" s="368"/>
      <c r="G343" s="370"/>
      <c r="H343" s="368"/>
      <c r="I343" s="368"/>
      <c r="J343" s="371"/>
      <c r="K343" s="372"/>
      <c r="L343" s="372"/>
      <c r="M343" s="368"/>
      <c r="N343" s="368"/>
      <c r="O343" s="368"/>
      <c r="P343" s="392">
        <f>SUM(P338:P342)</f>
        <v>4</v>
      </c>
      <c r="Q343" s="368"/>
      <c r="R343" s="368"/>
      <c r="S343" s="368"/>
      <c r="T343" s="368"/>
      <c r="U343" s="373"/>
    </row>
    <row r="344" spans="1:21" s="357" customFormat="1" ht="22.5" customHeight="1">
      <c r="A344" s="506" t="s">
        <v>369</v>
      </c>
      <c r="B344" s="506"/>
      <c r="C344" s="506"/>
      <c r="D344" s="506"/>
      <c r="E344" s="383"/>
      <c r="F344" s="383"/>
      <c r="G344" s="366"/>
      <c r="H344" s="366"/>
      <c r="I344" s="366"/>
      <c r="J344" s="366">
        <f aca="true" t="shared" si="97" ref="J344:O344">SUM(J7:J342)</f>
        <v>0</v>
      </c>
      <c r="K344" s="382">
        <f t="shared" si="97"/>
        <v>328</v>
      </c>
      <c r="L344" s="382">
        <f t="shared" si="97"/>
        <v>12</v>
      </c>
      <c r="M344" s="382">
        <f t="shared" si="97"/>
        <v>962192.6666666669</v>
      </c>
      <c r="N344" s="382">
        <f t="shared" si="97"/>
        <v>892234.9000000003</v>
      </c>
      <c r="O344" s="382">
        <f t="shared" si="97"/>
        <v>47468777.73333336</v>
      </c>
      <c r="P344" s="366">
        <f>P64+P159+P337+P343</f>
        <v>331</v>
      </c>
      <c r="Q344" s="366"/>
      <c r="R344" s="366">
        <f>SUM(R7:R342)</f>
        <v>440932500</v>
      </c>
      <c r="S344" s="366">
        <f>SUM(S7:S342)</f>
        <v>432810000</v>
      </c>
      <c r="T344" s="366">
        <f>SUM(T7:T342)</f>
        <v>11655000</v>
      </c>
      <c r="U344" s="366">
        <f>SUM(U7:U342)</f>
        <v>444465000</v>
      </c>
    </row>
    <row r="345" spans="1:21" ht="20.25">
      <c r="A345" s="164"/>
      <c r="B345" s="164"/>
      <c r="C345" s="29" t="s">
        <v>1302</v>
      </c>
      <c r="D345" s="365"/>
      <c r="E345" s="164"/>
      <c r="F345" s="164"/>
      <c r="G345" s="164"/>
      <c r="H345" s="164"/>
      <c r="I345" s="164"/>
      <c r="J345" s="309"/>
      <c r="K345" s="248"/>
      <c r="L345" s="248"/>
      <c r="M345" s="164"/>
      <c r="N345" s="164"/>
      <c r="O345" s="164" t="s">
        <v>1555</v>
      </c>
      <c r="P345" s="250">
        <f>335-P344</f>
        <v>4</v>
      </c>
      <c r="Q345" s="164"/>
      <c r="R345" s="164"/>
      <c r="S345" s="164"/>
      <c r="T345" s="249"/>
      <c r="U345" s="164"/>
    </row>
    <row r="346" spans="1:21" ht="12.75">
      <c r="A346" s="164"/>
      <c r="B346" s="164"/>
      <c r="C346" s="11" t="s">
        <v>915</v>
      </c>
      <c r="D346" s="301"/>
      <c r="E346" s="164"/>
      <c r="F346" s="164"/>
      <c r="G346" s="164"/>
      <c r="H346" s="164"/>
      <c r="I346" s="164"/>
      <c r="J346" s="309"/>
      <c r="K346" s="248"/>
      <c r="L346" s="248"/>
      <c r="M346" s="164"/>
      <c r="N346" s="164"/>
      <c r="O346" s="164"/>
      <c r="P346" s="249"/>
      <c r="Q346" s="164"/>
      <c r="R346" s="164"/>
      <c r="S346" s="164"/>
      <c r="T346" s="250"/>
      <c r="U346" s="164"/>
    </row>
    <row r="347" spans="1:21" ht="12.75">
      <c r="A347" s="164"/>
      <c r="B347" s="164"/>
      <c r="C347" s="11" t="s">
        <v>916</v>
      </c>
      <c r="D347" s="301"/>
      <c r="E347" s="164"/>
      <c r="F347" s="164"/>
      <c r="G347" s="164"/>
      <c r="H347" s="164"/>
      <c r="I347" s="164"/>
      <c r="J347" s="309"/>
      <c r="K347" s="258"/>
      <c r="L347" s="248"/>
      <c r="M347" s="164"/>
      <c r="N347" s="164"/>
      <c r="O347" s="164"/>
      <c r="P347" s="250"/>
      <c r="Q347" s="164"/>
      <c r="R347" s="164"/>
      <c r="S347" s="164"/>
      <c r="T347" s="249"/>
      <c r="U347" s="164"/>
    </row>
    <row r="348" spans="1:21" ht="12.75">
      <c r="A348" s="164"/>
      <c r="B348" s="164"/>
      <c r="C348" s="11" t="s">
        <v>917</v>
      </c>
      <c r="D348" s="301"/>
      <c r="E348" s="164"/>
      <c r="F348" s="164"/>
      <c r="G348" s="164"/>
      <c r="H348" s="164"/>
      <c r="I348" s="164"/>
      <c r="J348" s="309"/>
      <c r="K348" s="258"/>
      <c r="L348" s="248"/>
      <c r="M348" s="164"/>
      <c r="N348" s="164"/>
      <c r="O348" s="164"/>
      <c r="P348" s="249"/>
      <c r="Q348" s="164"/>
      <c r="R348" s="164"/>
      <c r="S348" s="164"/>
      <c r="T348" s="249"/>
      <c r="U348" s="164"/>
    </row>
    <row r="349" spans="1:21" ht="12.75">
      <c r="A349" s="164"/>
      <c r="B349" s="164"/>
      <c r="C349" s="11" t="s">
        <v>918</v>
      </c>
      <c r="D349" s="301"/>
      <c r="E349" s="164"/>
      <c r="F349" s="164"/>
      <c r="G349" s="164"/>
      <c r="H349" s="164"/>
      <c r="I349" s="164"/>
      <c r="J349" s="309"/>
      <c r="K349" s="258"/>
      <c r="L349" s="248"/>
      <c r="M349" s="167"/>
      <c r="N349" s="164"/>
      <c r="O349" s="164"/>
      <c r="P349" s="249"/>
      <c r="Q349" s="164"/>
      <c r="R349" s="164"/>
      <c r="S349" s="164"/>
      <c r="T349" s="249"/>
      <c r="U349" s="164"/>
    </row>
    <row r="350" spans="1:21" ht="12.75">
      <c r="A350" s="164"/>
      <c r="B350" s="164"/>
      <c r="C350" s="11" t="s">
        <v>919</v>
      </c>
      <c r="D350" s="301"/>
      <c r="E350" s="164"/>
      <c r="F350" s="164"/>
      <c r="G350" s="164"/>
      <c r="H350" s="164"/>
      <c r="I350" s="164"/>
      <c r="J350" s="309"/>
      <c r="K350" s="258"/>
      <c r="L350" s="248"/>
      <c r="M350" s="164"/>
      <c r="N350" s="164"/>
      <c r="O350" s="164"/>
      <c r="P350" s="249"/>
      <c r="Q350" s="164"/>
      <c r="R350" s="164"/>
      <c r="S350" s="164"/>
      <c r="T350" s="249"/>
      <c r="U350" s="164"/>
    </row>
    <row r="351" spans="1:21" ht="12.75">
      <c r="A351" s="164"/>
      <c r="B351" s="164"/>
      <c r="C351" s="11" t="s">
        <v>920</v>
      </c>
      <c r="D351" s="301"/>
      <c r="E351" s="164"/>
      <c r="F351" s="164"/>
      <c r="G351" s="164"/>
      <c r="H351" s="164"/>
      <c r="I351" s="164"/>
      <c r="J351" s="309"/>
      <c r="K351" s="258"/>
      <c r="L351" s="248"/>
      <c r="M351" s="164"/>
      <c r="N351" s="164"/>
      <c r="O351" s="164"/>
      <c r="P351" s="249"/>
      <c r="Q351" s="164"/>
      <c r="R351" s="164"/>
      <c r="S351" s="164"/>
      <c r="T351" s="249"/>
      <c r="U351" s="164"/>
    </row>
    <row r="352" spans="1:21" ht="12.75">
      <c r="A352" s="164"/>
      <c r="B352" s="164"/>
      <c r="C352" s="11" t="s">
        <v>921</v>
      </c>
      <c r="D352" s="301"/>
      <c r="E352" s="164"/>
      <c r="F352" s="164"/>
      <c r="G352" s="164"/>
      <c r="H352" s="164"/>
      <c r="I352" s="164"/>
      <c r="J352" s="309"/>
      <c r="K352" s="258"/>
      <c r="L352" s="248"/>
      <c r="M352" s="164"/>
      <c r="N352" s="164"/>
      <c r="O352" s="164"/>
      <c r="P352" s="249"/>
      <c r="Q352" s="164"/>
      <c r="R352" s="164"/>
      <c r="S352" s="164"/>
      <c r="T352" s="249"/>
      <c r="U352" s="164"/>
    </row>
    <row r="353" spans="4:12" ht="12.75">
      <c r="D353" s="302"/>
      <c r="K353" s="26"/>
      <c r="L353" s="27"/>
    </row>
    <row r="354" spans="11:12" ht="12.75">
      <c r="K354" s="25"/>
      <c r="L354" s="25"/>
    </row>
    <row r="355" spans="11:12" ht="12.75">
      <c r="K355" s="25"/>
      <c r="L355" s="25"/>
    </row>
    <row r="356" spans="11:12" ht="12.75">
      <c r="K356" s="25"/>
      <c r="L356" s="25"/>
    </row>
    <row r="357" spans="11:12" ht="12.75">
      <c r="K357" s="25"/>
      <c r="L357" s="25"/>
    </row>
    <row r="358" spans="11:12" ht="12.75">
      <c r="K358" s="25"/>
      <c r="L358" s="25"/>
    </row>
    <row r="359" spans="11:12" ht="12.75">
      <c r="K359" s="25"/>
      <c r="L359" s="25"/>
    </row>
    <row r="360" spans="11:12" ht="12.75">
      <c r="K360" s="25"/>
      <c r="L360" s="25"/>
    </row>
    <row r="361" spans="11:12" ht="12.75">
      <c r="K361" s="25"/>
      <c r="L361" s="25"/>
    </row>
    <row r="362" spans="11:12" ht="12.75">
      <c r="K362" s="25"/>
      <c r="L362" s="25"/>
    </row>
    <row r="363" spans="11:12" ht="12.75">
      <c r="K363" s="25"/>
      <c r="L363" s="25"/>
    </row>
    <row r="364" spans="11:12" ht="12.75">
      <c r="K364" s="25"/>
      <c r="L364" s="25"/>
    </row>
    <row r="365" spans="11:12" ht="12.75">
      <c r="K365" s="25"/>
      <c r="L365" s="25"/>
    </row>
    <row r="366" spans="11:12" ht="12.75">
      <c r="K366" s="25"/>
      <c r="L366" s="25"/>
    </row>
    <row r="367" spans="11:12" ht="12.75">
      <c r="K367" s="25"/>
      <c r="L367" s="25"/>
    </row>
    <row r="368" spans="11:12" ht="12.75">
      <c r="K368" s="25"/>
      <c r="L368" s="25"/>
    </row>
    <row r="369" spans="11:12" ht="12.75">
      <c r="K369" s="25"/>
      <c r="L369" s="25"/>
    </row>
    <row r="370" spans="11:12" ht="12.75">
      <c r="K370" s="25"/>
      <c r="L370" s="25"/>
    </row>
    <row r="371" spans="11:12" ht="12.75">
      <c r="K371" s="25"/>
      <c r="L371" s="25"/>
    </row>
    <row r="372" spans="11:12" ht="12.75">
      <c r="K372" s="25"/>
      <c r="L372" s="25"/>
    </row>
    <row r="373" spans="11:12" ht="12.75">
      <c r="K373" s="25"/>
      <c r="L373" s="25"/>
    </row>
    <row r="374" spans="11:12" ht="12.75">
      <c r="K374" s="25"/>
      <c r="L374" s="25"/>
    </row>
    <row r="375" spans="11:12" ht="12.75">
      <c r="K375" s="25"/>
      <c r="L375" s="25"/>
    </row>
    <row r="376" spans="11:12" ht="12.75">
      <c r="K376" s="25"/>
      <c r="L376" s="25"/>
    </row>
    <row r="377" spans="11:12" ht="12.75">
      <c r="K377" s="25"/>
      <c r="L377" s="25"/>
    </row>
    <row r="378" spans="11:12" ht="12.75">
      <c r="K378" s="25"/>
      <c r="L378" s="25"/>
    </row>
    <row r="379" spans="11:12" ht="12.75">
      <c r="K379" s="25"/>
      <c r="L379" s="25"/>
    </row>
    <row r="380" spans="11:12" ht="12.75">
      <c r="K380" s="25"/>
      <c r="L380" s="25"/>
    </row>
    <row r="381" spans="11:12" ht="12.75">
      <c r="K381" s="25"/>
      <c r="L381" s="25"/>
    </row>
    <row r="382" spans="11:12" ht="12.75">
      <c r="K382" s="25"/>
      <c r="L382" s="25"/>
    </row>
    <row r="383" spans="11:12" ht="12.75">
      <c r="K383" s="25"/>
      <c r="L383" s="25"/>
    </row>
    <row r="384" spans="11:12" ht="12.75">
      <c r="K384" s="25"/>
      <c r="L384" s="25"/>
    </row>
    <row r="385" spans="11:12" ht="12.75">
      <c r="K385" s="25"/>
      <c r="L385" s="25"/>
    </row>
    <row r="386" spans="11:12" ht="12.75">
      <c r="K386" s="25"/>
      <c r="L386" s="25"/>
    </row>
    <row r="387" spans="11:12" ht="12.75">
      <c r="K387" s="25"/>
      <c r="L387" s="25"/>
    </row>
    <row r="388" spans="11:12" ht="12.75">
      <c r="K388" s="25"/>
      <c r="L388" s="25"/>
    </row>
    <row r="389" spans="11:12" ht="12.75">
      <c r="K389" s="25"/>
      <c r="L389" s="25"/>
    </row>
    <row r="390" spans="11:12" ht="12.75">
      <c r="K390" s="25"/>
      <c r="L390" s="25"/>
    </row>
    <row r="391" spans="11:12" ht="12.75">
      <c r="K391" s="25"/>
      <c r="L391" s="25"/>
    </row>
    <row r="392" spans="11:12" ht="12.75">
      <c r="K392" s="25"/>
      <c r="L392" s="25"/>
    </row>
    <row r="393" spans="11:12" ht="12.75">
      <c r="K393" s="25"/>
      <c r="L393" s="25"/>
    </row>
    <row r="394" spans="11:12" ht="12.75">
      <c r="K394" s="25"/>
      <c r="L394" s="25"/>
    </row>
    <row r="395" spans="11:12" ht="12.75">
      <c r="K395" s="25"/>
      <c r="L395" s="25"/>
    </row>
    <row r="396" spans="11:12" ht="12.75">
      <c r="K396" s="25"/>
      <c r="L396" s="25"/>
    </row>
    <row r="397" spans="11:12" ht="12.75">
      <c r="K397" s="25"/>
      <c r="L397" s="25"/>
    </row>
    <row r="398" spans="11:12" ht="12.75">
      <c r="K398" s="25"/>
      <c r="L398" s="25"/>
    </row>
    <row r="399" spans="11:12" ht="12.75">
      <c r="K399" s="25"/>
      <c r="L399" s="25"/>
    </row>
    <row r="400" spans="11:12" ht="12.75">
      <c r="K400" s="25"/>
      <c r="L400" s="25"/>
    </row>
    <row r="401" spans="11:12" ht="12.75">
      <c r="K401" s="25"/>
      <c r="L401" s="25"/>
    </row>
    <row r="402" spans="11:12" ht="12.75">
      <c r="K402" s="25"/>
      <c r="L402" s="25"/>
    </row>
    <row r="403" spans="11:12" ht="12.75">
      <c r="K403" s="25"/>
      <c r="L403" s="25"/>
    </row>
    <row r="404" spans="11:12" ht="12.75">
      <c r="K404" s="25"/>
      <c r="L404" s="25"/>
    </row>
    <row r="405" spans="11:12" ht="12.75">
      <c r="K405" s="25"/>
      <c r="L405" s="25"/>
    </row>
    <row r="406" spans="11:12" ht="12.75">
      <c r="K406" s="25"/>
      <c r="L406" s="25"/>
    </row>
    <row r="407" spans="11:12" ht="12.75">
      <c r="K407" s="25"/>
      <c r="L407" s="25"/>
    </row>
    <row r="408" spans="11:12" ht="12.75">
      <c r="K408" s="25"/>
      <c r="L408" s="25"/>
    </row>
    <row r="409" spans="11:12" ht="12.75">
      <c r="K409" s="25"/>
      <c r="L409" s="25"/>
    </row>
    <row r="410" spans="11:12" ht="12.75">
      <c r="K410" s="25"/>
      <c r="L410" s="25"/>
    </row>
    <row r="411" spans="11:12" ht="12.75">
      <c r="K411" s="25"/>
      <c r="L411" s="25"/>
    </row>
    <row r="412" spans="11:12" ht="12.75">
      <c r="K412" s="25"/>
      <c r="L412" s="25"/>
    </row>
    <row r="413" spans="11:12" ht="12.75">
      <c r="K413" s="25"/>
      <c r="L413" s="25"/>
    </row>
    <row r="414" spans="11:12" ht="12.75">
      <c r="K414" s="25"/>
      <c r="L414" s="25"/>
    </row>
    <row r="415" spans="11:12" ht="12.75">
      <c r="K415" s="25"/>
      <c r="L415" s="25"/>
    </row>
    <row r="416" spans="11:12" ht="12.75">
      <c r="K416" s="25"/>
      <c r="L416" s="25"/>
    </row>
    <row r="417" spans="11:12" ht="12.75">
      <c r="K417" s="25"/>
      <c r="L417" s="25"/>
    </row>
    <row r="418" spans="11:12" ht="12.75">
      <c r="K418" s="25"/>
      <c r="L418" s="25"/>
    </row>
    <row r="419" spans="11:12" ht="12.75">
      <c r="K419" s="25"/>
      <c r="L419" s="25"/>
    </row>
    <row r="420" spans="11:12" ht="12.75">
      <c r="K420" s="25"/>
      <c r="L420" s="25"/>
    </row>
    <row r="421" spans="11:12" ht="12.75">
      <c r="K421" s="25"/>
      <c r="L421" s="25"/>
    </row>
    <row r="422" spans="11:12" ht="12.75">
      <c r="K422" s="25"/>
      <c r="L422" s="25"/>
    </row>
    <row r="423" spans="11:12" ht="12.75">
      <c r="K423" s="25"/>
      <c r="L423" s="25"/>
    </row>
    <row r="424" spans="11:12" ht="12.75">
      <c r="K424" s="25"/>
      <c r="L424" s="25"/>
    </row>
    <row r="425" spans="11:12" ht="12.75">
      <c r="K425" s="25"/>
      <c r="L425" s="25"/>
    </row>
    <row r="426" spans="11:12" ht="12.75">
      <c r="K426" s="25"/>
      <c r="L426" s="25"/>
    </row>
    <row r="427" spans="11:12" ht="12.75">
      <c r="K427" s="25"/>
      <c r="L427" s="25"/>
    </row>
    <row r="428" spans="11:12" ht="12.75">
      <c r="K428" s="25"/>
      <c r="L428" s="25"/>
    </row>
    <row r="429" spans="11:12" ht="12.75">
      <c r="K429" s="25"/>
      <c r="L429" s="25"/>
    </row>
    <row r="430" spans="11:12" ht="12.75">
      <c r="K430" s="25"/>
      <c r="L430" s="25"/>
    </row>
    <row r="431" spans="11:12" ht="12.75">
      <c r="K431" s="25"/>
      <c r="L431" s="25"/>
    </row>
    <row r="432" spans="11:12" ht="12.75">
      <c r="K432" s="18"/>
      <c r="L432" s="18"/>
    </row>
    <row r="433" spans="11:12" ht="12.75">
      <c r="K433" s="18"/>
      <c r="L433" s="18"/>
    </row>
    <row r="434" spans="11:12" ht="12.75">
      <c r="K434" s="18"/>
      <c r="L434" s="18"/>
    </row>
    <row r="435" spans="11:12" ht="12.75">
      <c r="K435" s="18"/>
      <c r="L435" s="18"/>
    </row>
    <row r="436" spans="11:12" ht="12.75">
      <c r="K436" s="18"/>
      <c r="L436" s="18"/>
    </row>
    <row r="437" spans="11:12" ht="12.75">
      <c r="K437" s="18"/>
      <c r="L437" s="18"/>
    </row>
    <row r="438" spans="11:12" ht="12.75">
      <c r="K438" s="18"/>
      <c r="L438" s="18"/>
    </row>
    <row r="439" spans="11:12" ht="12.75">
      <c r="K439" s="18"/>
      <c r="L439" s="18"/>
    </row>
    <row r="440" spans="11:12" ht="12.75">
      <c r="K440" s="18"/>
      <c r="L440" s="18"/>
    </row>
    <row r="441" spans="11:12" ht="12.75">
      <c r="K441" s="18"/>
      <c r="L441" s="18"/>
    </row>
    <row r="442" spans="11:12" ht="12.75">
      <c r="K442" s="18"/>
      <c r="L442" s="18"/>
    </row>
    <row r="443" spans="11:12" ht="12.75">
      <c r="K443" s="18"/>
      <c r="L443" s="18"/>
    </row>
    <row r="444" spans="11:12" ht="12.75">
      <c r="K444" s="18"/>
      <c r="L444" s="18"/>
    </row>
    <row r="445" spans="11:12" ht="12.75">
      <c r="K445" s="18"/>
      <c r="L445" s="18"/>
    </row>
    <row r="446" spans="11:12" ht="12.75">
      <c r="K446" s="18"/>
      <c r="L446" s="18"/>
    </row>
    <row r="447" spans="11:12" ht="12.75">
      <c r="K447" s="18"/>
      <c r="L447" s="18"/>
    </row>
    <row r="448" spans="11:12" ht="12.75">
      <c r="K448" s="18"/>
      <c r="L448" s="18"/>
    </row>
    <row r="449" spans="11:12" ht="12.75">
      <c r="K449" s="18"/>
      <c r="L449" s="18"/>
    </row>
    <row r="450" spans="11:12" ht="12.75">
      <c r="K450" s="18"/>
      <c r="L450" s="18"/>
    </row>
    <row r="451" spans="11:12" ht="12.75">
      <c r="K451" s="18"/>
      <c r="L451" s="18"/>
    </row>
    <row r="452" spans="11:12" ht="12.75">
      <c r="K452" s="18"/>
      <c r="L452" s="18"/>
    </row>
    <row r="453" spans="11:12" ht="12.75">
      <c r="K453" s="18"/>
      <c r="L453" s="18"/>
    </row>
    <row r="454" spans="11:12" ht="12.75">
      <c r="K454" s="18"/>
      <c r="L454" s="18"/>
    </row>
    <row r="455" spans="11:12" ht="12.75">
      <c r="K455" s="18"/>
      <c r="L455" s="18"/>
    </row>
    <row r="456" spans="11:12" ht="12.75">
      <c r="K456" s="18"/>
      <c r="L456" s="18"/>
    </row>
    <row r="457" spans="11:12" ht="12.75">
      <c r="K457" s="18"/>
      <c r="L457" s="18"/>
    </row>
    <row r="458" spans="11:12" ht="12.75">
      <c r="K458" s="18"/>
      <c r="L458" s="18"/>
    </row>
    <row r="459" spans="11:12" ht="12.75">
      <c r="K459" s="18"/>
      <c r="L459" s="18"/>
    </row>
    <row r="460" spans="11:12" ht="12.75">
      <c r="K460" s="18"/>
      <c r="L460" s="18"/>
    </row>
    <row r="461" spans="11:12" ht="12.75">
      <c r="K461" s="18"/>
      <c r="L461" s="18"/>
    </row>
    <row r="462" spans="11:12" ht="12.75">
      <c r="K462" s="18"/>
      <c r="L462" s="18"/>
    </row>
    <row r="463" spans="11:12" ht="12.75">
      <c r="K463" s="18"/>
      <c r="L463" s="18"/>
    </row>
    <row r="464" spans="11:12" ht="12.75">
      <c r="K464" s="18"/>
      <c r="L464" s="18"/>
    </row>
    <row r="465" spans="11:12" ht="12.75">
      <c r="K465" s="18"/>
      <c r="L465" s="18"/>
    </row>
    <row r="466" spans="11:12" ht="12.75">
      <c r="K466" s="18"/>
      <c r="L466" s="18"/>
    </row>
    <row r="467" spans="11:12" ht="12.75">
      <c r="K467" s="18"/>
      <c r="L467" s="18"/>
    </row>
    <row r="468" spans="11:12" ht="12.75">
      <c r="K468" s="18"/>
      <c r="L468" s="18"/>
    </row>
    <row r="469" spans="11:12" ht="12.75">
      <c r="K469" s="18"/>
      <c r="L469" s="18"/>
    </row>
    <row r="470" spans="11:12" ht="12.75">
      <c r="K470" s="18"/>
      <c r="L470" s="18"/>
    </row>
    <row r="471" spans="11:12" ht="12.75">
      <c r="K471" s="18"/>
      <c r="L471" s="18"/>
    </row>
    <row r="472" spans="11:12" ht="12.75">
      <c r="K472" s="18"/>
      <c r="L472" s="18"/>
    </row>
    <row r="473" spans="11:12" ht="12.75">
      <c r="K473" s="18"/>
      <c r="L473" s="18"/>
    </row>
    <row r="474" spans="11:12" ht="12.75">
      <c r="K474" s="18"/>
      <c r="L474" s="18"/>
    </row>
    <row r="475" spans="11:12" ht="12.75">
      <c r="K475" s="18"/>
      <c r="L475" s="18"/>
    </row>
    <row r="476" spans="11:12" ht="12.75">
      <c r="K476" s="18"/>
      <c r="L476" s="18"/>
    </row>
    <row r="477" spans="11:12" ht="12.75">
      <c r="K477" s="18"/>
      <c r="L477" s="18"/>
    </row>
    <row r="478" spans="11:12" ht="12.75">
      <c r="K478" s="18"/>
      <c r="L478" s="18"/>
    </row>
    <row r="479" spans="11:12" ht="12.75">
      <c r="K479" s="18"/>
      <c r="L479" s="18"/>
    </row>
    <row r="480" spans="11:12" ht="12.75">
      <c r="K480" s="18"/>
      <c r="L480" s="18"/>
    </row>
    <row r="481" spans="11:12" ht="12.75">
      <c r="K481" s="18"/>
      <c r="L481" s="18"/>
    </row>
    <row r="482" spans="11:12" ht="12.75">
      <c r="K482" s="18"/>
      <c r="L482" s="18"/>
    </row>
    <row r="483" spans="11:12" ht="12.75">
      <c r="K483" s="18"/>
      <c r="L483" s="18"/>
    </row>
    <row r="484" spans="11:12" ht="12.75">
      <c r="K484" s="18"/>
      <c r="L484" s="18"/>
    </row>
    <row r="485" spans="11:12" ht="12.75">
      <c r="K485" s="18"/>
      <c r="L485" s="18"/>
    </row>
    <row r="486" spans="11:12" ht="12.75">
      <c r="K486" s="18"/>
      <c r="L486" s="18"/>
    </row>
    <row r="487" spans="11:12" ht="12.75">
      <c r="K487" s="18"/>
      <c r="L487" s="18"/>
    </row>
    <row r="488" spans="11:12" ht="12.75">
      <c r="K488" s="18"/>
      <c r="L488" s="18"/>
    </row>
    <row r="489" spans="11:12" ht="12.75">
      <c r="K489" s="18"/>
      <c r="L489" s="18"/>
    </row>
    <row r="490" spans="11:12" ht="12.75">
      <c r="K490" s="18"/>
      <c r="L490" s="18"/>
    </row>
    <row r="491" spans="11:12" ht="12.75">
      <c r="K491" s="18"/>
      <c r="L491" s="18"/>
    </row>
    <row r="492" spans="11:12" ht="12.75">
      <c r="K492" s="18"/>
      <c r="L492" s="18"/>
    </row>
    <row r="493" spans="11:12" ht="12.75">
      <c r="K493" s="18"/>
      <c r="L493" s="18"/>
    </row>
    <row r="494" spans="11:12" ht="12.75">
      <c r="K494" s="18"/>
      <c r="L494" s="18"/>
    </row>
    <row r="495" spans="11:12" ht="12.75">
      <c r="K495" s="18"/>
      <c r="L495" s="18"/>
    </row>
    <row r="496" spans="11:12" ht="12.75">
      <c r="K496" s="18"/>
      <c r="L496" s="18"/>
    </row>
    <row r="497" spans="11:12" ht="12.75">
      <c r="K497" s="18"/>
      <c r="L497" s="18"/>
    </row>
    <row r="498" spans="11:12" ht="12.75">
      <c r="K498" s="18"/>
      <c r="L498" s="18"/>
    </row>
    <row r="499" spans="11:12" ht="12.75">
      <c r="K499" s="18"/>
      <c r="L499" s="18"/>
    </row>
    <row r="500" spans="11:12" ht="12.75">
      <c r="K500" s="18"/>
      <c r="L500" s="18"/>
    </row>
    <row r="501" spans="11:12" ht="12.75">
      <c r="K501" s="18"/>
      <c r="L501" s="18"/>
    </row>
    <row r="502" spans="11:12" ht="12.75">
      <c r="K502" s="18"/>
      <c r="L502" s="18"/>
    </row>
    <row r="503" spans="11:12" ht="12.75">
      <c r="K503" s="18"/>
      <c r="L503" s="18"/>
    </row>
    <row r="504" spans="11:12" ht="12.75">
      <c r="K504" s="18"/>
      <c r="L504" s="18"/>
    </row>
    <row r="505" spans="11:12" ht="12.75">
      <c r="K505" s="18"/>
      <c r="L505" s="18"/>
    </row>
    <row r="506" spans="11:12" ht="12.75">
      <c r="K506" s="18"/>
      <c r="L506" s="18"/>
    </row>
    <row r="507" spans="11:12" ht="12.75">
      <c r="K507" s="18"/>
      <c r="L507" s="18"/>
    </row>
    <row r="508" spans="11:12" ht="12.75">
      <c r="K508" s="18"/>
      <c r="L508" s="18"/>
    </row>
    <row r="509" spans="11:12" ht="12.75">
      <c r="K509" s="18"/>
      <c r="L509" s="18"/>
    </row>
    <row r="510" spans="11:12" ht="12.75">
      <c r="K510" s="18"/>
      <c r="L510" s="18"/>
    </row>
    <row r="511" spans="11:12" ht="12.75">
      <c r="K511" s="18"/>
      <c r="L511" s="18"/>
    </row>
    <row r="512" spans="11:12" ht="12.75">
      <c r="K512" s="18"/>
      <c r="L512" s="18"/>
    </row>
    <row r="513" spans="11:12" ht="12.75">
      <c r="K513" s="18"/>
      <c r="L513" s="18"/>
    </row>
    <row r="514" spans="11:12" ht="12.75">
      <c r="K514" s="18"/>
      <c r="L514" s="18"/>
    </row>
    <row r="515" spans="11:12" ht="12.75">
      <c r="K515" s="18"/>
      <c r="L515" s="18"/>
    </row>
    <row r="516" spans="11:12" ht="12.75">
      <c r="K516" s="18"/>
      <c r="L516" s="18"/>
    </row>
    <row r="517" spans="11:12" ht="12.75">
      <c r="K517" s="18"/>
      <c r="L517" s="18"/>
    </row>
    <row r="518" spans="11:12" ht="12.75">
      <c r="K518" s="18"/>
      <c r="L518" s="18"/>
    </row>
    <row r="519" spans="11:12" ht="12.75">
      <c r="K519" s="18"/>
      <c r="L519" s="18"/>
    </row>
    <row r="520" spans="11:12" ht="12.75">
      <c r="K520" s="18"/>
      <c r="L520" s="18"/>
    </row>
    <row r="521" spans="11:12" ht="12.75">
      <c r="K521" s="18"/>
      <c r="L521" s="18"/>
    </row>
    <row r="522" spans="11:12" ht="12.75">
      <c r="K522" s="18"/>
      <c r="L522" s="18"/>
    </row>
    <row r="523" spans="11:12" ht="12.75">
      <c r="K523" s="18"/>
      <c r="L523" s="18"/>
    </row>
    <row r="524" spans="11:12" ht="12.75">
      <c r="K524" s="18"/>
      <c r="L524" s="18"/>
    </row>
    <row r="525" spans="11:12" ht="12.75">
      <c r="K525" s="18"/>
      <c r="L525" s="18"/>
    </row>
    <row r="526" spans="11:12" ht="12.75">
      <c r="K526" s="18"/>
      <c r="L526" s="18"/>
    </row>
    <row r="527" spans="11:12" ht="12.75">
      <c r="K527" s="18"/>
      <c r="L527" s="18"/>
    </row>
    <row r="528" spans="11:12" ht="12.75">
      <c r="K528" s="18"/>
      <c r="L528" s="18"/>
    </row>
    <row r="529" spans="11:12" ht="12.75">
      <c r="K529" s="18"/>
      <c r="L529" s="18"/>
    </row>
    <row r="530" spans="11:12" ht="12.75">
      <c r="K530" s="18"/>
      <c r="L530" s="18"/>
    </row>
    <row r="531" spans="11:12" ht="12.75">
      <c r="K531" s="18"/>
      <c r="L531" s="18"/>
    </row>
    <row r="532" spans="11:12" ht="12.75">
      <c r="K532" s="18"/>
      <c r="L532" s="18"/>
    </row>
    <row r="533" spans="11:12" ht="12.75">
      <c r="K533" s="18"/>
      <c r="L533" s="18"/>
    </row>
    <row r="534" spans="11:12" ht="12.75">
      <c r="K534" s="18"/>
      <c r="L534" s="18"/>
    </row>
    <row r="535" spans="11:12" ht="12.75">
      <c r="K535" s="18"/>
      <c r="L535" s="18"/>
    </row>
    <row r="536" spans="11:12" ht="12.75">
      <c r="K536" s="18"/>
      <c r="L536" s="18"/>
    </row>
    <row r="537" spans="11:12" ht="12.75">
      <c r="K537" s="18"/>
      <c r="L537" s="18"/>
    </row>
    <row r="538" spans="11:12" ht="12.75">
      <c r="K538" s="18"/>
      <c r="L538" s="18"/>
    </row>
    <row r="539" spans="11:12" ht="12.75">
      <c r="K539" s="18"/>
      <c r="L539" s="18"/>
    </row>
    <row r="540" spans="11:12" ht="12.75">
      <c r="K540" s="18"/>
      <c r="L540" s="18"/>
    </row>
    <row r="541" spans="11:12" ht="12.75">
      <c r="K541" s="18"/>
      <c r="L541" s="18"/>
    </row>
    <row r="542" spans="11:12" ht="12.75">
      <c r="K542" s="18"/>
      <c r="L542" s="18"/>
    </row>
    <row r="543" spans="11:12" ht="12.75">
      <c r="K543" s="18"/>
      <c r="L543" s="18"/>
    </row>
    <row r="544" spans="11:12" ht="12.75">
      <c r="K544" s="18"/>
      <c r="L544" s="18"/>
    </row>
    <row r="545" spans="11:12" ht="12.75">
      <c r="K545" s="18"/>
      <c r="L545" s="18"/>
    </row>
    <row r="546" spans="11:12" ht="12.75">
      <c r="K546" s="18"/>
      <c r="L546" s="18"/>
    </row>
    <row r="547" spans="11:12" ht="12.75">
      <c r="K547" s="18"/>
      <c r="L547" s="18"/>
    </row>
    <row r="548" spans="11:12" ht="12.75">
      <c r="K548" s="18"/>
      <c r="L548" s="18"/>
    </row>
    <row r="549" spans="11:12" ht="12.75">
      <c r="K549" s="18"/>
      <c r="L549" s="18"/>
    </row>
    <row r="550" spans="11:12" ht="12.75">
      <c r="K550" s="18"/>
      <c r="L550" s="18"/>
    </row>
    <row r="551" spans="11:12" ht="12.75">
      <c r="K551" s="18"/>
      <c r="L551" s="18"/>
    </row>
    <row r="552" spans="11:12" ht="12.75">
      <c r="K552" s="18"/>
      <c r="L552" s="18"/>
    </row>
    <row r="553" spans="11:12" ht="12.75">
      <c r="K553" s="18"/>
      <c r="L553" s="18"/>
    </row>
    <row r="554" spans="11:12" ht="12.75">
      <c r="K554" s="18"/>
      <c r="L554" s="18"/>
    </row>
    <row r="555" spans="11:12" ht="12.75">
      <c r="K555" s="18"/>
      <c r="L555" s="18"/>
    </row>
    <row r="556" spans="11:12" ht="12.75">
      <c r="K556" s="18"/>
      <c r="L556" s="18"/>
    </row>
    <row r="557" spans="11:12" ht="12.75">
      <c r="K557" s="18"/>
      <c r="L557" s="18"/>
    </row>
    <row r="558" spans="11:12" ht="12.75">
      <c r="K558" s="18"/>
      <c r="L558" s="18"/>
    </row>
    <row r="559" spans="11:12" ht="12.75">
      <c r="K559" s="18"/>
      <c r="L559" s="18"/>
    </row>
    <row r="560" spans="11:12" ht="12.75">
      <c r="K560" s="18"/>
      <c r="L560" s="18"/>
    </row>
    <row r="561" spans="11:12" ht="12.75">
      <c r="K561" s="18"/>
      <c r="L561" s="18"/>
    </row>
    <row r="562" spans="11:12" ht="12.75">
      <c r="K562" s="18"/>
      <c r="L562" s="18"/>
    </row>
    <row r="563" spans="11:12" ht="12.75">
      <c r="K563" s="18"/>
      <c r="L563" s="18"/>
    </row>
    <row r="564" spans="11:12" ht="12.75">
      <c r="K564" s="18"/>
      <c r="L564" s="18"/>
    </row>
    <row r="565" spans="11:12" ht="12.75">
      <c r="K565" s="18"/>
      <c r="L565" s="18"/>
    </row>
    <row r="566" spans="11:12" ht="12.75">
      <c r="K566" s="18"/>
      <c r="L566" s="18"/>
    </row>
    <row r="567" spans="11:12" ht="12.75">
      <c r="K567" s="18"/>
      <c r="L567" s="18"/>
    </row>
    <row r="568" spans="11:12" ht="12.75">
      <c r="K568" s="18"/>
      <c r="L568" s="18"/>
    </row>
    <row r="569" spans="11:12" ht="12.75">
      <c r="K569" s="18"/>
      <c r="L569" s="18"/>
    </row>
    <row r="570" spans="11:12" ht="12.75">
      <c r="K570" s="18"/>
      <c r="L570" s="18"/>
    </row>
    <row r="571" spans="11:12" ht="12.75">
      <c r="K571" s="18"/>
      <c r="L571" s="18"/>
    </row>
    <row r="572" spans="11:12" ht="12.75">
      <c r="K572" s="18"/>
      <c r="L572" s="18"/>
    </row>
    <row r="573" spans="11:12" ht="12.75">
      <c r="K573" s="18"/>
      <c r="L573" s="18"/>
    </row>
    <row r="574" spans="11:12" ht="12.75">
      <c r="K574" s="18"/>
      <c r="L574" s="18"/>
    </row>
    <row r="575" spans="11:12" ht="12.75">
      <c r="K575" s="18"/>
      <c r="L575" s="18"/>
    </row>
    <row r="576" spans="11:12" ht="12.75">
      <c r="K576" s="18"/>
      <c r="L576" s="18"/>
    </row>
    <row r="577" spans="11:12" ht="12.75">
      <c r="K577" s="18"/>
      <c r="L577" s="18"/>
    </row>
    <row r="578" spans="11:12" ht="12.75">
      <c r="K578" s="18"/>
      <c r="L578" s="18"/>
    </row>
    <row r="579" spans="11:12" ht="12.75">
      <c r="K579" s="18"/>
      <c r="L579" s="18"/>
    </row>
    <row r="580" spans="11:12" ht="12.75">
      <c r="K580" s="18"/>
      <c r="L580" s="18"/>
    </row>
    <row r="581" spans="11:12" ht="12.75">
      <c r="K581" s="18"/>
      <c r="L581" s="18"/>
    </row>
    <row r="582" spans="11:12" ht="12.75">
      <c r="K582" s="18"/>
      <c r="L582" s="18"/>
    </row>
    <row r="583" spans="11:12" ht="12.75">
      <c r="K583" s="18"/>
      <c r="L583" s="18"/>
    </row>
    <row r="584" spans="11:12" ht="12.75">
      <c r="K584" s="18"/>
      <c r="L584" s="18"/>
    </row>
    <row r="585" spans="11:12" ht="12.75">
      <c r="K585" s="18"/>
      <c r="L585" s="18"/>
    </row>
    <row r="586" spans="11:12" ht="12.75">
      <c r="K586" s="18"/>
      <c r="L586" s="18"/>
    </row>
    <row r="587" spans="11:12" ht="12.75">
      <c r="K587" s="18"/>
      <c r="L587" s="18"/>
    </row>
    <row r="588" spans="11:12" ht="12.75">
      <c r="K588" s="18"/>
      <c r="L588" s="18"/>
    </row>
    <row r="589" spans="11:12" ht="12.75">
      <c r="K589" s="18"/>
      <c r="L589" s="18"/>
    </row>
    <row r="590" spans="11:12" ht="12.75">
      <c r="K590" s="18"/>
      <c r="L590" s="18"/>
    </row>
    <row r="591" spans="11:12" ht="12.75">
      <c r="K591" s="18"/>
      <c r="L591" s="18"/>
    </row>
    <row r="592" spans="11:12" ht="12.75">
      <c r="K592" s="18"/>
      <c r="L592" s="18"/>
    </row>
    <row r="593" spans="11:12" ht="12.75">
      <c r="K593" s="18"/>
      <c r="L593" s="18"/>
    </row>
    <row r="594" spans="11:12" ht="12.75">
      <c r="K594" s="18"/>
      <c r="L594" s="18"/>
    </row>
    <row r="595" spans="11:12" ht="12.75">
      <c r="K595" s="18"/>
      <c r="L595" s="18"/>
    </row>
    <row r="596" spans="11:12" ht="12.75">
      <c r="K596" s="18"/>
      <c r="L596" s="18"/>
    </row>
    <row r="597" spans="11:12" ht="12.75">
      <c r="K597" s="18"/>
      <c r="L597" s="18"/>
    </row>
    <row r="598" spans="11:12" ht="12.75">
      <c r="K598" s="18"/>
      <c r="L598" s="18"/>
    </row>
    <row r="599" spans="11:12" ht="12.75">
      <c r="K599" s="18"/>
      <c r="L599" s="18"/>
    </row>
    <row r="600" spans="11:12" ht="12.75">
      <c r="K600" s="18"/>
      <c r="L600" s="18"/>
    </row>
    <row r="601" spans="11:12" ht="12.75">
      <c r="K601" s="18"/>
      <c r="L601" s="18"/>
    </row>
    <row r="602" spans="11:12" ht="12.75">
      <c r="K602" s="18"/>
      <c r="L602" s="18"/>
    </row>
    <row r="603" spans="11:12" ht="12.75">
      <c r="K603" s="18"/>
      <c r="L603" s="18"/>
    </row>
    <row r="604" spans="11:12" ht="12.75">
      <c r="K604" s="18"/>
      <c r="L604" s="18"/>
    </row>
    <row r="605" spans="11:12" ht="12.75">
      <c r="K605" s="18"/>
      <c r="L605" s="18"/>
    </row>
    <row r="606" spans="11:12" ht="12.75">
      <c r="K606" s="18"/>
      <c r="L606" s="18"/>
    </row>
    <row r="607" spans="11:12" ht="12.75">
      <c r="K607" s="18"/>
      <c r="L607" s="18"/>
    </row>
    <row r="608" spans="11:12" ht="12.75">
      <c r="K608" s="18"/>
      <c r="L608" s="18"/>
    </row>
    <row r="609" spans="11:12" ht="12.75">
      <c r="K609" s="18"/>
      <c r="L609" s="18"/>
    </row>
    <row r="610" spans="11:12" ht="12.75">
      <c r="K610" s="18"/>
      <c r="L610" s="18"/>
    </row>
    <row r="611" spans="11:12" ht="12.75">
      <c r="K611" s="18"/>
      <c r="L611" s="18"/>
    </row>
    <row r="612" spans="11:12" ht="12.75">
      <c r="K612" s="18"/>
      <c r="L612" s="18"/>
    </row>
    <row r="613" spans="11:12" ht="12.75">
      <c r="K613" s="18"/>
      <c r="L613" s="18"/>
    </row>
    <row r="614" spans="11:12" ht="12.75">
      <c r="K614" s="18"/>
      <c r="L614" s="18"/>
    </row>
    <row r="615" spans="11:12" ht="12.75">
      <c r="K615" s="18"/>
      <c r="L615" s="18"/>
    </row>
    <row r="616" spans="11:12" ht="12.75">
      <c r="K616" s="18"/>
      <c r="L616" s="18"/>
    </row>
    <row r="617" spans="11:12" ht="12.75">
      <c r="K617" s="18"/>
      <c r="L617" s="18"/>
    </row>
    <row r="618" spans="11:12" ht="12.75">
      <c r="K618" s="18"/>
      <c r="L618" s="18"/>
    </row>
    <row r="619" spans="11:12" ht="12.75">
      <c r="K619" s="18"/>
      <c r="L619" s="18"/>
    </row>
    <row r="620" spans="11:12" ht="12.75">
      <c r="K620" s="18"/>
      <c r="L620" s="18"/>
    </row>
    <row r="621" spans="11:12" ht="12.75">
      <c r="K621" s="18"/>
      <c r="L621" s="18"/>
    </row>
    <row r="622" spans="11:12" ht="12.75">
      <c r="K622" s="18"/>
      <c r="L622" s="18"/>
    </row>
    <row r="623" spans="11:12" ht="12.75">
      <c r="K623" s="18"/>
      <c r="L623" s="18"/>
    </row>
    <row r="624" spans="11:12" ht="12.75">
      <c r="K624" s="18"/>
      <c r="L624" s="18"/>
    </row>
    <row r="625" spans="11:12" ht="12.75">
      <c r="K625" s="18"/>
      <c r="L625" s="18"/>
    </row>
    <row r="626" spans="11:12" ht="12.75">
      <c r="K626" s="18"/>
      <c r="L626" s="18"/>
    </row>
    <row r="627" spans="11:12" ht="12.75">
      <c r="K627" s="18"/>
      <c r="L627" s="18"/>
    </row>
    <row r="628" spans="11:12" ht="12.75">
      <c r="K628" s="18"/>
      <c r="L628" s="18"/>
    </row>
    <row r="629" spans="11:12" ht="12.75">
      <c r="K629" s="18"/>
      <c r="L629" s="18"/>
    </row>
    <row r="630" spans="11:12" ht="12.75">
      <c r="K630" s="18"/>
      <c r="L630" s="18"/>
    </row>
    <row r="631" spans="11:12" ht="12.75">
      <c r="K631" s="18"/>
      <c r="L631" s="18"/>
    </row>
    <row r="632" spans="11:12" ht="12.75">
      <c r="K632" s="18"/>
      <c r="L632" s="18"/>
    </row>
    <row r="633" spans="11:12" ht="12.75">
      <c r="K633" s="18"/>
      <c r="L633" s="18"/>
    </row>
    <row r="634" spans="11:12" ht="12.75">
      <c r="K634" s="18"/>
      <c r="L634" s="18"/>
    </row>
    <row r="635" spans="11:12" ht="12.75">
      <c r="K635" s="18"/>
      <c r="L635" s="18"/>
    </row>
    <row r="636" spans="11:12" ht="12.75">
      <c r="K636" s="18"/>
      <c r="L636" s="18"/>
    </row>
    <row r="637" spans="11:12" ht="12.75">
      <c r="K637" s="18"/>
      <c r="L637" s="18"/>
    </row>
    <row r="638" spans="11:12" ht="12.75">
      <c r="K638" s="18"/>
      <c r="L638" s="18"/>
    </row>
    <row r="639" spans="11:12" ht="12.75">
      <c r="K639" s="18"/>
      <c r="L639" s="18"/>
    </row>
    <row r="640" spans="11:12" ht="12.75">
      <c r="K640" s="18"/>
      <c r="L640" s="18"/>
    </row>
    <row r="641" spans="11:12" ht="12.75">
      <c r="K641" s="18"/>
      <c r="L641" s="18"/>
    </row>
    <row r="642" spans="11:12" ht="12.75">
      <c r="K642" s="18"/>
      <c r="L642" s="18"/>
    </row>
    <row r="643" spans="11:12" ht="12.75">
      <c r="K643" s="18"/>
      <c r="L643" s="18"/>
    </row>
    <row r="644" spans="11:12" ht="12.75">
      <c r="K644" s="18"/>
      <c r="L644" s="18"/>
    </row>
    <row r="645" spans="11:12" ht="12.75">
      <c r="K645" s="18"/>
      <c r="L645" s="18"/>
    </row>
    <row r="646" spans="11:12" ht="12.75">
      <c r="K646" s="18"/>
      <c r="L646" s="18"/>
    </row>
    <row r="647" spans="11:12" ht="12.75">
      <c r="K647" s="18"/>
      <c r="L647" s="18"/>
    </row>
    <row r="648" spans="11:12" ht="12.75">
      <c r="K648" s="18"/>
      <c r="L648" s="18"/>
    </row>
    <row r="649" spans="11:12" ht="12.75">
      <c r="K649" s="18"/>
      <c r="L649" s="18"/>
    </row>
    <row r="650" spans="11:12" ht="12.75">
      <c r="K650" s="18"/>
      <c r="L650" s="18"/>
    </row>
    <row r="651" spans="11:12" ht="12.75">
      <c r="K651" s="18"/>
      <c r="L651" s="18"/>
    </row>
    <row r="652" spans="11:12" ht="12.75">
      <c r="K652" s="18"/>
      <c r="L652" s="18"/>
    </row>
    <row r="653" spans="11:12" ht="12.75">
      <c r="K653" s="18"/>
      <c r="L653" s="18"/>
    </row>
    <row r="654" spans="11:12" ht="12.75">
      <c r="K654" s="18"/>
      <c r="L654" s="18"/>
    </row>
    <row r="655" spans="11:12" ht="12.75">
      <c r="K655" s="18"/>
      <c r="L655" s="18"/>
    </row>
    <row r="656" spans="11:12" ht="12.75">
      <c r="K656" s="18"/>
      <c r="L656" s="18"/>
    </row>
    <row r="657" spans="11:12" ht="12.75">
      <c r="K657" s="18"/>
      <c r="L657" s="18"/>
    </row>
    <row r="658" spans="11:12" ht="12.75">
      <c r="K658" s="18"/>
      <c r="L658" s="18"/>
    </row>
    <row r="659" spans="11:12" ht="12.75">
      <c r="K659" s="18"/>
      <c r="L659" s="18"/>
    </row>
    <row r="660" spans="11:12" ht="12.75">
      <c r="K660" s="18"/>
      <c r="L660" s="18"/>
    </row>
    <row r="661" spans="11:12" ht="12.75">
      <c r="K661" s="18"/>
      <c r="L661" s="18"/>
    </row>
  </sheetData>
  <sheetProtection/>
  <mergeCells count="20">
    <mergeCell ref="A1:U1"/>
    <mergeCell ref="G3:G4"/>
    <mergeCell ref="H3:H4"/>
    <mergeCell ref="I3:I4"/>
    <mergeCell ref="N3:N4"/>
    <mergeCell ref="M3:M4"/>
    <mergeCell ref="B3:B4"/>
    <mergeCell ref="E3:E4"/>
    <mergeCell ref="S3:U3"/>
    <mergeCell ref="K3:L4"/>
    <mergeCell ref="Q3:Q4"/>
    <mergeCell ref="F3:F4"/>
    <mergeCell ref="D3:D4"/>
    <mergeCell ref="J3:J4"/>
    <mergeCell ref="A344:D344"/>
    <mergeCell ref="R3:R4"/>
    <mergeCell ref="A3:A4"/>
    <mergeCell ref="O3:O4"/>
    <mergeCell ref="P3:P4"/>
    <mergeCell ref="C3:C4"/>
  </mergeCells>
  <printOptions/>
  <pageMargins left="0.17" right="0.17" top="0.24" bottom="0.24" header="0.17" footer="0.17"/>
  <pageSetup horizontalDpi="600" verticalDpi="600" orientation="landscape" paperSize="9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59"/>
  <sheetViews>
    <sheetView tabSelected="1" zoomScale="90" zoomScaleNormal="90" zoomScalePageLayoutView="0" workbookViewId="0" topLeftCell="A1">
      <pane ySplit="5" topLeftCell="A24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4.140625" style="10" customWidth="1"/>
    <col min="2" max="2" width="6.140625" style="10" customWidth="1"/>
    <col min="3" max="3" width="28.00390625" style="10" customWidth="1"/>
    <col min="4" max="4" width="18.57421875" style="10" customWidth="1"/>
    <col min="5" max="5" width="11.28125" style="10" customWidth="1"/>
    <col min="6" max="6" width="18.00390625" style="10" customWidth="1"/>
    <col min="7" max="7" width="6.57421875" style="65" customWidth="1"/>
    <col min="8" max="8" width="7.7109375" style="10" customWidth="1"/>
    <col min="9" max="9" width="4.7109375" style="10" customWidth="1"/>
    <col min="10" max="10" width="6.8515625" style="38" customWidth="1"/>
    <col min="11" max="11" width="4.8515625" style="40" customWidth="1"/>
    <col min="12" max="12" width="4.7109375" style="10" customWidth="1"/>
    <col min="13" max="13" width="8.8515625" style="63" customWidth="1"/>
    <col min="14" max="14" width="9.00390625" style="10" customWidth="1"/>
    <col min="15" max="15" width="10.421875" style="10" customWidth="1"/>
    <col min="16" max="16" width="5.140625" style="41" customWidth="1"/>
    <col min="17" max="17" width="5.8515625" style="10" customWidth="1"/>
    <col min="18" max="18" width="11.421875" style="10" customWidth="1"/>
    <col min="19" max="19" width="11.140625" style="10" customWidth="1"/>
    <col min="20" max="20" width="6.57421875" style="10" customWidth="1"/>
    <col min="21" max="21" width="11.28125" style="10" customWidth="1"/>
    <col min="22" max="22" width="11.57421875" style="10" bestFit="1" customWidth="1"/>
    <col min="23" max="16384" width="9.140625" style="10" customWidth="1"/>
  </cols>
  <sheetData>
    <row r="1" spans="1:21" ht="27">
      <c r="A1" s="485" t="s">
        <v>1342</v>
      </c>
      <c r="B1" s="485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</row>
    <row r="2" spans="1:21" ht="15">
      <c r="A2" s="1"/>
      <c r="B2" s="1"/>
      <c r="C2" s="3"/>
      <c r="D2" s="3"/>
      <c r="E2" s="3"/>
      <c r="F2" s="3"/>
      <c r="G2" s="64"/>
      <c r="H2" s="3"/>
      <c r="I2" s="3"/>
      <c r="J2" s="4"/>
      <c r="K2" s="4"/>
      <c r="L2" s="3"/>
      <c r="M2" s="3"/>
      <c r="N2" s="3"/>
      <c r="O2" s="5"/>
      <c r="P2" s="5"/>
      <c r="Q2" s="6"/>
      <c r="R2" s="5">
        <v>22500</v>
      </c>
      <c r="S2" s="5"/>
      <c r="T2" s="5"/>
      <c r="U2" s="5"/>
    </row>
    <row r="3" spans="1:21" s="356" customFormat="1" ht="34.5" customHeight="1">
      <c r="A3" s="507" t="s">
        <v>0</v>
      </c>
      <c r="B3" s="482" t="s">
        <v>1</v>
      </c>
      <c r="C3" s="504" t="s">
        <v>2</v>
      </c>
      <c r="D3" s="504" t="s">
        <v>3</v>
      </c>
      <c r="E3" s="482" t="s">
        <v>4</v>
      </c>
      <c r="F3" s="482" t="s">
        <v>1111</v>
      </c>
      <c r="G3" s="480" t="s">
        <v>5</v>
      </c>
      <c r="H3" s="480" t="s">
        <v>6</v>
      </c>
      <c r="I3" s="480" t="s">
        <v>7</v>
      </c>
      <c r="J3" s="480" t="s">
        <v>926</v>
      </c>
      <c r="K3" s="489" t="s">
        <v>8</v>
      </c>
      <c r="L3" s="491"/>
      <c r="M3" s="480" t="s">
        <v>9</v>
      </c>
      <c r="N3" s="480" t="s">
        <v>10</v>
      </c>
      <c r="O3" s="480" t="s">
        <v>11</v>
      </c>
      <c r="P3" s="480" t="s">
        <v>12</v>
      </c>
      <c r="Q3" s="480" t="s">
        <v>1408</v>
      </c>
      <c r="R3" s="480" t="s">
        <v>14</v>
      </c>
      <c r="S3" s="489" t="s">
        <v>1109</v>
      </c>
      <c r="T3" s="490"/>
      <c r="U3" s="491"/>
    </row>
    <row r="4" spans="1:21" s="356" customFormat="1" ht="39" customHeight="1">
      <c r="A4" s="508"/>
      <c r="B4" s="488"/>
      <c r="C4" s="505"/>
      <c r="D4" s="505"/>
      <c r="E4" s="488"/>
      <c r="F4" s="488"/>
      <c r="G4" s="481"/>
      <c r="H4" s="481"/>
      <c r="I4" s="481"/>
      <c r="J4" s="481"/>
      <c r="K4" s="492"/>
      <c r="L4" s="493"/>
      <c r="M4" s="481"/>
      <c r="N4" s="481"/>
      <c r="O4" s="481"/>
      <c r="P4" s="481"/>
      <c r="Q4" s="481"/>
      <c r="R4" s="481"/>
      <c r="S4" s="366" t="s">
        <v>801</v>
      </c>
      <c r="T4" s="366" t="s">
        <v>802</v>
      </c>
      <c r="U4" s="366" t="s">
        <v>926</v>
      </c>
    </row>
    <row r="5" spans="1:21" s="49" customFormat="1" ht="19.5" customHeight="1" thickBot="1">
      <c r="A5" s="168">
        <f>COUNT(A7:A30)</f>
        <v>22</v>
      </c>
      <c r="B5" s="169"/>
      <c r="C5" s="170" t="s">
        <v>1405</v>
      </c>
      <c r="D5" s="170"/>
      <c r="E5" s="170"/>
      <c r="F5" s="170"/>
      <c r="G5" s="170"/>
      <c r="H5" s="170"/>
      <c r="I5" s="170"/>
      <c r="J5" s="170"/>
      <c r="K5" s="171" t="s">
        <v>801</v>
      </c>
      <c r="L5" s="171" t="s">
        <v>1404</v>
      </c>
      <c r="M5" s="511"/>
      <c r="N5" s="511"/>
      <c r="O5" s="511"/>
      <c r="P5" s="511"/>
      <c r="Q5" s="511"/>
      <c r="R5" s="511"/>
      <c r="S5" s="511"/>
      <c r="T5" s="511"/>
      <c r="U5" s="511"/>
    </row>
    <row r="6" spans="1:21" s="42" customFormat="1" ht="22.5" customHeight="1">
      <c r="A6" s="367" t="s">
        <v>16</v>
      </c>
      <c r="B6" s="368"/>
      <c r="C6" s="369"/>
      <c r="D6" s="369"/>
      <c r="E6" s="368"/>
      <c r="F6" s="368"/>
      <c r="G6" s="370"/>
      <c r="H6" s="368"/>
      <c r="I6" s="368"/>
      <c r="J6" s="371"/>
      <c r="K6" s="372"/>
      <c r="L6" s="372"/>
      <c r="M6" s="368"/>
      <c r="N6" s="368"/>
      <c r="O6" s="368"/>
      <c r="P6" s="368"/>
      <c r="Q6" s="368"/>
      <c r="R6" s="368"/>
      <c r="S6" s="368"/>
      <c r="T6" s="368"/>
      <c r="U6" s="373"/>
    </row>
    <row r="7" spans="1:22" s="42" customFormat="1" ht="21" customHeight="1">
      <c r="A7" s="148">
        <v>1</v>
      </c>
      <c r="B7" s="8" t="s">
        <v>17</v>
      </c>
      <c r="C7" s="359" t="s">
        <v>725</v>
      </c>
      <c r="D7" s="144" t="s">
        <v>726</v>
      </c>
      <c r="E7" s="144" t="s">
        <v>727</v>
      </c>
      <c r="F7" s="144" t="s">
        <v>1138</v>
      </c>
      <c r="G7" s="30">
        <v>21</v>
      </c>
      <c r="H7" s="20">
        <v>1500</v>
      </c>
      <c r="I7" s="172">
        <v>4</v>
      </c>
      <c r="J7" s="173" t="s">
        <v>25</v>
      </c>
      <c r="K7" s="174">
        <v>1</v>
      </c>
      <c r="L7" s="175">
        <v>0</v>
      </c>
      <c r="M7" s="313">
        <f>G7*H7/5</f>
        <v>6300</v>
      </c>
      <c r="N7" s="313">
        <f>M7*0.15*5.5</f>
        <v>5197.5</v>
      </c>
      <c r="O7" s="313">
        <f>M7*5.3*5.5+N7*2</f>
        <v>194040</v>
      </c>
      <c r="P7" s="176">
        <v>1</v>
      </c>
      <c r="Q7" s="20">
        <v>1</v>
      </c>
      <c r="R7" s="20">
        <f aca="true" t="shared" si="0" ref="R7:R15">90*$R$2</f>
        <v>2025000</v>
      </c>
      <c r="S7" s="20">
        <f aca="true" t="shared" si="1" ref="S7:S15">R7*Q7*P7*K7</f>
        <v>2025000</v>
      </c>
      <c r="T7" s="20">
        <f>R7*Q7*P7*L7</f>
        <v>0</v>
      </c>
      <c r="U7" s="20">
        <f aca="true" t="shared" si="2" ref="U7:U15">R7*Q7*P7</f>
        <v>2025000</v>
      </c>
      <c r="V7" s="54"/>
    </row>
    <row r="8" spans="1:21" s="42" customFormat="1" ht="21" customHeight="1">
      <c r="A8" s="148">
        <v>2</v>
      </c>
      <c r="B8" s="8" t="s">
        <v>17</v>
      </c>
      <c r="C8" s="359" t="s">
        <v>728</v>
      </c>
      <c r="D8" s="144" t="s">
        <v>729</v>
      </c>
      <c r="E8" s="144" t="s">
        <v>727</v>
      </c>
      <c r="F8" s="144" t="s">
        <v>1138</v>
      </c>
      <c r="G8" s="30">
        <v>17</v>
      </c>
      <c r="H8" s="20">
        <v>1000</v>
      </c>
      <c r="I8" s="172">
        <v>3</v>
      </c>
      <c r="J8" s="173" t="s">
        <v>62</v>
      </c>
      <c r="K8" s="174">
        <v>1</v>
      </c>
      <c r="L8" s="175">
        <v>0</v>
      </c>
      <c r="M8" s="313">
        <f>G8*H8/5</f>
        <v>3400</v>
      </c>
      <c r="N8" s="313">
        <f>M8*0.15*5.5</f>
        <v>2805</v>
      </c>
      <c r="O8" s="313">
        <f>M8*5.3*5.5+N8*2</f>
        <v>104720</v>
      </c>
      <c r="P8" s="176">
        <v>1</v>
      </c>
      <c r="Q8" s="20">
        <v>1</v>
      </c>
      <c r="R8" s="20">
        <f t="shared" si="0"/>
        <v>2025000</v>
      </c>
      <c r="S8" s="20">
        <f t="shared" si="1"/>
        <v>2025000</v>
      </c>
      <c r="T8" s="20">
        <f aca="true" t="shared" si="3" ref="T8:T25">R8*Q8*P8*L8</f>
        <v>0</v>
      </c>
      <c r="U8" s="20">
        <f t="shared" si="2"/>
        <v>2025000</v>
      </c>
    </row>
    <row r="9" spans="1:22" s="42" customFormat="1" ht="21" customHeight="1">
      <c r="A9" s="148">
        <v>3</v>
      </c>
      <c r="B9" s="8" t="s">
        <v>17</v>
      </c>
      <c r="C9" s="359" t="s">
        <v>730</v>
      </c>
      <c r="D9" s="144" t="s">
        <v>731</v>
      </c>
      <c r="E9" s="144" t="s">
        <v>727</v>
      </c>
      <c r="F9" s="144" t="s">
        <v>1138</v>
      </c>
      <c r="G9" s="30">
        <v>11</v>
      </c>
      <c r="H9" s="20">
        <v>7000</v>
      </c>
      <c r="I9" s="172">
        <v>3</v>
      </c>
      <c r="J9" s="173" t="s">
        <v>25</v>
      </c>
      <c r="K9" s="174">
        <v>1</v>
      </c>
      <c r="L9" s="175">
        <v>0</v>
      </c>
      <c r="M9" s="313">
        <f>G9*H9/5</f>
        <v>15400</v>
      </c>
      <c r="N9" s="313">
        <f>M9*0.15*5.5</f>
        <v>12705</v>
      </c>
      <c r="O9" s="313">
        <f>M9*5.3*5.5+N9*2</f>
        <v>474320</v>
      </c>
      <c r="P9" s="176">
        <v>1</v>
      </c>
      <c r="Q9" s="20">
        <v>1</v>
      </c>
      <c r="R9" s="20">
        <f t="shared" si="0"/>
        <v>2025000</v>
      </c>
      <c r="S9" s="20">
        <f t="shared" si="1"/>
        <v>2025000</v>
      </c>
      <c r="T9" s="20">
        <f t="shared" si="3"/>
        <v>0</v>
      </c>
      <c r="U9" s="20">
        <f t="shared" si="2"/>
        <v>2025000</v>
      </c>
      <c r="V9" s="54"/>
    </row>
    <row r="10" spans="1:21" s="42" customFormat="1" ht="21" customHeight="1">
      <c r="A10" s="148">
        <v>4</v>
      </c>
      <c r="B10" s="8" t="s">
        <v>17</v>
      </c>
      <c r="C10" s="360" t="s">
        <v>1098</v>
      </c>
      <c r="D10" s="101" t="s">
        <v>1099</v>
      </c>
      <c r="E10" s="144" t="s">
        <v>727</v>
      </c>
      <c r="F10" s="144" t="s">
        <v>1137</v>
      </c>
      <c r="G10" s="30">
        <v>18</v>
      </c>
      <c r="H10" s="20">
        <v>600</v>
      </c>
      <c r="I10" s="161">
        <v>4</v>
      </c>
      <c r="J10" s="173" t="s">
        <v>40</v>
      </c>
      <c r="K10" s="17">
        <v>1</v>
      </c>
      <c r="L10" s="19"/>
      <c r="M10" s="313">
        <f>G10*H10/5</f>
        <v>2160</v>
      </c>
      <c r="N10" s="313">
        <f>M10*0.15*5.5</f>
        <v>1782</v>
      </c>
      <c r="O10" s="313">
        <f>M10*5.3*5.5+N10*2</f>
        <v>66528</v>
      </c>
      <c r="P10" s="176">
        <v>1</v>
      </c>
      <c r="Q10" s="20">
        <v>1</v>
      </c>
      <c r="R10" s="20">
        <f t="shared" si="0"/>
        <v>2025000</v>
      </c>
      <c r="S10" s="20">
        <f t="shared" si="1"/>
        <v>2025000</v>
      </c>
      <c r="T10" s="20">
        <f t="shared" si="3"/>
        <v>0</v>
      </c>
      <c r="U10" s="20">
        <f t="shared" si="2"/>
        <v>2025000</v>
      </c>
    </row>
    <row r="11" spans="1:21" s="42" customFormat="1" ht="21" customHeight="1">
      <c r="A11" s="148">
        <v>5</v>
      </c>
      <c r="B11" s="8" t="s">
        <v>34</v>
      </c>
      <c r="C11" s="360" t="s">
        <v>1100</v>
      </c>
      <c r="D11" s="101" t="s">
        <v>1101</v>
      </c>
      <c r="E11" s="144" t="s">
        <v>1066</v>
      </c>
      <c r="F11" s="144" t="s">
        <v>1138</v>
      </c>
      <c r="G11" s="30">
        <v>4</v>
      </c>
      <c r="H11" s="20">
        <v>25000</v>
      </c>
      <c r="I11" s="161">
        <v>2</v>
      </c>
      <c r="J11" s="173" t="s">
        <v>62</v>
      </c>
      <c r="K11" s="17">
        <v>1</v>
      </c>
      <c r="L11" s="19"/>
      <c r="M11" s="313">
        <f>G11*H11/5</f>
        <v>20000</v>
      </c>
      <c r="N11" s="313">
        <f>M11*0.15*7</f>
        <v>21000</v>
      </c>
      <c r="O11" s="313">
        <f>M11*5.3*5.5+N11*2</f>
        <v>625000</v>
      </c>
      <c r="P11" s="176">
        <v>1</v>
      </c>
      <c r="Q11" s="20">
        <v>1</v>
      </c>
      <c r="R11" s="20">
        <f t="shared" si="0"/>
        <v>2025000</v>
      </c>
      <c r="S11" s="20">
        <f t="shared" si="1"/>
        <v>2025000</v>
      </c>
      <c r="T11" s="20">
        <f t="shared" si="3"/>
        <v>0</v>
      </c>
      <c r="U11" s="20">
        <f t="shared" si="2"/>
        <v>2025000</v>
      </c>
    </row>
    <row r="12" spans="1:21" ht="16.5" customHeight="1">
      <c r="A12" s="148">
        <v>6</v>
      </c>
      <c r="B12" s="8" t="s">
        <v>100</v>
      </c>
      <c r="C12" s="361" t="s">
        <v>1230</v>
      </c>
      <c r="D12" s="32" t="s">
        <v>1231</v>
      </c>
      <c r="E12" s="32"/>
      <c r="F12" s="32" t="s">
        <v>1244</v>
      </c>
      <c r="G12" s="30">
        <v>12</v>
      </c>
      <c r="H12" s="30">
        <v>1000</v>
      </c>
      <c r="I12" s="30">
        <v>1</v>
      </c>
      <c r="J12" s="13" t="s">
        <v>77</v>
      </c>
      <c r="K12" s="17">
        <v>1</v>
      </c>
      <c r="L12" s="19"/>
      <c r="M12" s="324">
        <f>30%*(H12*G12/5)+70%*(H12*G12*5/100)</f>
        <v>1140</v>
      </c>
      <c r="N12" s="317">
        <f>30%*(M12*0.15*5.5)+70%*(M12*0.15*7)</f>
        <v>1120.05</v>
      </c>
      <c r="O12" s="317">
        <f>30%*(M12*7.7*5.5+N12*2)+70%*(M12*7.7+N12*2)</f>
        <v>22868.4</v>
      </c>
      <c r="P12" s="151">
        <v>1</v>
      </c>
      <c r="Q12" s="151">
        <v>1</v>
      </c>
      <c r="R12" s="20">
        <f t="shared" si="0"/>
        <v>2025000</v>
      </c>
      <c r="S12" s="20">
        <f t="shared" si="1"/>
        <v>2025000</v>
      </c>
      <c r="T12" s="20">
        <f t="shared" si="3"/>
        <v>0</v>
      </c>
      <c r="U12" s="152">
        <f t="shared" si="2"/>
        <v>2025000</v>
      </c>
    </row>
    <row r="13" spans="1:21" ht="16.5" customHeight="1">
      <c r="A13" s="148">
        <v>7</v>
      </c>
      <c r="B13" s="8" t="s">
        <v>100</v>
      </c>
      <c r="C13" s="362" t="s">
        <v>1232</v>
      </c>
      <c r="D13" s="44" t="s">
        <v>1359</v>
      </c>
      <c r="E13" s="32"/>
      <c r="F13" s="32" t="s">
        <v>1243</v>
      </c>
      <c r="G13" s="30">
        <v>6</v>
      </c>
      <c r="H13" s="30">
        <v>5000</v>
      </c>
      <c r="I13" s="30">
        <v>1</v>
      </c>
      <c r="J13" s="13" t="s">
        <v>77</v>
      </c>
      <c r="K13" s="17">
        <v>1</v>
      </c>
      <c r="L13" s="19"/>
      <c r="M13" s="324">
        <f>30%*(H13*G13/5)+70%*(H13*G13*5/100)</f>
        <v>2850</v>
      </c>
      <c r="N13" s="317">
        <f>30%*(M13*0.15*5.5)+70%*(M13*0.15*7)</f>
        <v>2800.125</v>
      </c>
      <c r="O13" s="317">
        <f>30%*(M13*7.7*5.5+N13*2)+70%*(M13*7.7+N13*2)</f>
        <v>57171</v>
      </c>
      <c r="P13" s="151">
        <v>1</v>
      </c>
      <c r="Q13" s="151">
        <v>1</v>
      </c>
      <c r="R13" s="20">
        <f t="shared" si="0"/>
        <v>2025000</v>
      </c>
      <c r="S13" s="20">
        <f t="shared" si="1"/>
        <v>2025000</v>
      </c>
      <c r="T13" s="20">
        <f t="shared" si="3"/>
        <v>0</v>
      </c>
      <c r="U13" s="152">
        <f t="shared" si="2"/>
        <v>2025000</v>
      </c>
    </row>
    <row r="14" spans="1:21" ht="16.5" customHeight="1">
      <c r="A14" s="148">
        <v>8</v>
      </c>
      <c r="B14" s="8" t="s">
        <v>46</v>
      </c>
      <c r="C14" s="363" t="s">
        <v>1233</v>
      </c>
      <c r="D14" s="32" t="s">
        <v>1234</v>
      </c>
      <c r="E14" s="32"/>
      <c r="F14" s="32" t="s">
        <v>1244</v>
      </c>
      <c r="G14" s="30">
        <v>12</v>
      </c>
      <c r="H14" s="30">
        <v>1000</v>
      </c>
      <c r="I14" s="30">
        <v>1</v>
      </c>
      <c r="J14" s="13" t="s">
        <v>77</v>
      </c>
      <c r="K14" s="17">
        <v>1</v>
      </c>
      <c r="L14" s="19"/>
      <c r="M14" s="313">
        <f>G14*H14*5/100</f>
        <v>600</v>
      </c>
      <c r="N14" s="313">
        <f>M14*0.15*7</f>
        <v>630</v>
      </c>
      <c r="O14" s="313">
        <f>M14*5.3*7+N14*2</f>
        <v>23520</v>
      </c>
      <c r="P14" s="151">
        <v>1</v>
      </c>
      <c r="Q14" s="151">
        <v>1</v>
      </c>
      <c r="R14" s="20">
        <f t="shared" si="0"/>
        <v>2025000</v>
      </c>
      <c r="S14" s="20">
        <f t="shared" si="1"/>
        <v>2025000</v>
      </c>
      <c r="T14" s="20">
        <f t="shared" si="3"/>
        <v>0</v>
      </c>
      <c r="U14" s="152">
        <f t="shared" si="2"/>
        <v>2025000</v>
      </c>
    </row>
    <row r="15" spans="1:21" ht="16.5" customHeight="1" thickBot="1">
      <c r="A15" s="148">
        <v>9</v>
      </c>
      <c r="B15" s="9" t="s">
        <v>46</v>
      </c>
      <c r="C15" s="364" t="s">
        <v>1235</v>
      </c>
      <c r="D15" s="35" t="s">
        <v>1361</v>
      </c>
      <c r="E15" s="35"/>
      <c r="F15" s="35" t="s">
        <v>1243</v>
      </c>
      <c r="G15" s="31">
        <v>11</v>
      </c>
      <c r="H15" s="31">
        <v>2000</v>
      </c>
      <c r="I15" s="31">
        <v>1</v>
      </c>
      <c r="J15" s="43" t="s">
        <v>77</v>
      </c>
      <c r="K15" s="36">
        <v>1</v>
      </c>
      <c r="L15" s="37"/>
      <c r="M15" s="313">
        <f>G15*H15*5/100</f>
        <v>1100</v>
      </c>
      <c r="N15" s="313">
        <f>M15*0.15*7</f>
        <v>1155</v>
      </c>
      <c r="O15" s="313">
        <f>M15*5.3*7+N15*2</f>
        <v>43120</v>
      </c>
      <c r="P15" s="159">
        <v>1</v>
      </c>
      <c r="Q15" s="159">
        <v>1</v>
      </c>
      <c r="R15" s="20">
        <f t="shared" si="0"/>
        <v>2025000</v>
      </c>
      <c r="S15" s="158">
        <f t="shared" si="1"/>
        <v>2025000</v>
      </c>
      <c r="T15" s="20">
        <f t="shared" si="3"/>
        <v>0</v>
      </c>
      <c r="U15" s="160">
        <f t="shared" si="2"/>
        <v>2025000</v>
      </c>
    </row>
    <row r="16" spans="1:21" s="42" customFormat="1" ht="22.5" customHeight="1">
      <c r="A16" s="367" t="s">
        <v>93</v>
      </c>
      <c r="B16" s="368"/>
      <c r="C16" s="369"/>
      <c r="D16" s="369"/>
      <c r="E16" s="368"/>
      <c r="F16" s="368"/>
      <c r="G16" s="370"/>
      <c r="H16" s="368"/>
      <c r="I16" s="368"/>
      <c r="J16" s="371"/>
      <c r="K16" s="372"/>
      <c r="L16" s="372"/>
      <c r="M16" s="368"/>
      <c r="N16" s="368"/>
      <c r="O16" s="368"/>
      <c r="P16" s="368">
        <f>SUM(P7:P15)</f>
        <v>9</v>
      </c>
      <c r="Q16" s="368"/>
      <c r="R16" s="368"/>
      <c r="S16" s="368"/>
      <c r="T16" s="368"/>
      <c r="U16" s="373"/>
    </row>
    <row r="17" spans="1:21" s="42" customFormat="1" ht="21" customHeight="1">
      <c r="A17" s="177">
        <v>1</v>
      </c>
      <c r="B17" s="9" t="s">
        <v>17</v>
      </c>
      <c r="C17" s="417" t="s">
        <v>734</v>
      </c>
      <c r="D17" s="144" t="s">
        <v>735</v>
      </c>
      <c r="E17" s="178" t="s">
        <v>727</v>
      </c>
      <c r="F17" s="178" t="s">
        <v>1138</v>
      </c>
      <c r="G17" s="30">
        <v>10</v>
      </c>
      <c r="H17" s="20">
        <v>800</v>
      </c>
      <c r="I17" s="172">
        <v>3</v>
      </c>
      <c r="J17" s="173" t="s">
        <v>62</v>
      </c>
      <c r="K17" s="179">
        <v>1</v>
      </c>
      <c r="L17" s="180">
        <v>0</v>
      </c>
      <c r="M17" s="313">
        <f>G17*H17/5</f>
        <v>1600</v>
      </c>
      <c r="N17" s="313">
        <f aca="true" t="shared" si="4" ref="N17:N22">M17*0.15*5.5</f>
        <v>1320</v>
      </c>
      <c r="O17" s="313">
        <f>M17*5.3*5.5+N17*2</f>
        <v>49280</v>
      </c>
      <c r="P17" s="21">
        <v>1</v>
      </c>
      <c r="Q17" s="20">
        <v>1</v>
      </c>
      <c r="R17" s="20">
        <f aca="true" t="shared" si="5" ref="R17:R25">68*$R$2</f>
        <v>1530000</v>
      </c>
      <c r="S17" s="20">
        <f aca="true" t="shared" si="6" ref="S17:S25">R17*Q17*P17*K17</f>
        <v>1530000</v>
      </c>
      <c r="T17" s="20">
        <f t="shared" si="3"/>
        <v>0</v>
      </c>
      <c r="U17" s="20">
        <f aca="true" t="shared" si="7" ref="U17:U25">R17*Q17*P17</f>
        <v>1530000</v>
      </c>
    </row>
    <row r="18" spans="1:21" s="42" customFormat="1" ht="21" customHeight="1">
      <c r="A18" s="177">
        <v>2</v>
      </c>
      <c r="B18" s="9" t="s">
        <v>17</v>
      </c>
      <c r="C18" s="417" t="s">
        <v>732</v>
      </c>
      <c r="D18" s="143" t="s">
        <v>733</v>
      </c>
      <c r="E18" s="178" t="s">
        <v>727</v>
      </c>
      <c r="F18" s="178" t="s">
        <v>1138</v>
      </c>
      <c r="G18" s="30">
        <v>8</v>
      </c>
      <c r="H18" s="20">
        <v>400</v>
      </c>
      <c r="I18" s="172">
        <v>2</v>
      </c>
      <c r="J18" s="173" t="s">
        <v>77</v>
      </c>
      <c r="K18" s="179">
        <v>1</v>
      </c>
      <c r="L18" s="180">
        <v>0</v>
      </c>
      <c r="M18" s="313">
        <f>G18*H18/5</f>
        <v>640</v>
      </c>
      <c r="N18" s="313">
        <f t="shared" si="4"/>
        <v>528</v>
      </c>
      <c r="O18" s="313">
        <f>M18*5.3*5.5+N18*2</f>
        <v>19712</v>
      </c>
      <c r="P18" s="21">
        <v>1</v>
      </c>
      <c r="Q18" s="20">
        <v>1</v>
      </c>
      <c r="R18" s="20">
        <f t="shared" si="5"/>
        <v>1530000</v>
      </c>
      <c r="S18" s="20">
        <f t="shared" si="6"/>
        <v>1530000</v>
      </c>
      <c r="T18" s="20">
        <f t="shared" si="3"/>
        <v>0</v>
      </c>
      <c r="U18" s="20">
        <f t="shared" si="7"/>
        <v>1530000</v>
      </c>
    </row>
    <row r="19" spans="1:21" s="42" customFormat="1" ht="21" customHeight="1">
      <c r="A19" s="177">
        <v>3</v>
      </c>
      <c r="B19" s="8" t="s">
        <v>17</v>
      </c>
      <c r="C19" s="417" t="s">
        <v>737</v>
      </c>
      <c r="D19" s="144" t="s">
        <v>738</v>
      </c>
      <c r="E19" s="144" t="s">
        <v>736</v>
      </c>
      <c r="F19" s="181" t="s">
        <v>1138</v>
      </c>
      <c r="G19" s="30">
        <v>10</v>
      </c>
      <c r="H19" s="20">
        <v>1500</v>
      </c>
      <c r="I19" s="172">
        <v>2</v>
      </c>
      <c r="J19" s="173" t="s">
        <v>77</v>
      </c>
      <c r="K19" s="179">
        <v>1</v>
      </c>
      <c r="L19" s="175">
        <v>0</v>
      </c>
      <c r="M19" s="313">
        <f>G19*H19*5/100</f>
        <v>750</v>
      </c>
      <c r="N19" s="313">
        <f>M19*0.15*7</f>
        <v>787.5</v>
      </c>
      <c r="O19" s="313">
        <f>M19*5.3*7+N19*2</f>
        <v>29400</v>
      </c>
      <c r="P19" s="21">
        <v>1</v>
      </c>
      <c r="Q19" s="20">
        <v>1</v>
      </c>
      <c r="R19" s="20">
        <f t="shared" si="5"/>
        <v>1530000</v>
      </c>
      <c r="S19" s="20">
        <f t="shared" si="6"/>
        <v>1530000</v>
      </c>
      <c r="T19" s="20">
        <f t="shared" si="3"/>
        <v>0</v>
      </c>
      <c r="U19" s="20">
        <f t="shared" si="7"/>
        <v>1530000</v>
      </c>
    </row>
    <row r="20" spans="1:21" s="47" customFormat="1" ht="21" customHeight="1">
      <c r="A20" s="177">
        <v>4</v>
      </c>
      <c r="B20" s="182" t="s">
        <v>17</v>
      </c>
      <c r="C20" s="418" t="s">
        <v>739</v>
      </c>
      <c r="D20" s="144" t="s">
        <v>740</v>
      </c>
      <c r="E20" s="144" t="s">
        <v>727</v>
      </c>
      <c r="F20" s="181" t="s">
        <v>1138</v>
      </c>
      <c r="G20" s="30">
        <v>9</v>
      </c>
      <c r="H20" s="20">
        <v>600</v>
      </c>
      <c r="I20" s="183">
        <v>2</v>
      </c>
      <c r="J20" s="184" t="s">
        <v>62</v>
      </c>
      <c r="K20" s="17">
        <v>1</v>
      </c>
      <c r="L20" s="185">
        <v>0</v>
      </c>
      <c r="M20" s="313">
        <f>G20*H20*5/100</f>
        <v>270</v>
      </c>
      <c r="N20" s="313">
        <f>M20*0.15*7</f>
        <v>283.5</v>
      </c>
      <c r="O20" s="313">
        <f>M20*5.3*7+N20*2</f>
        <v>10584</v>
      </c>
      <c r="P20" s="21">
        <v>1</v>
      </c>
      <c r="Q20" s="20">
        <v>1</v>
      </c>
      <c r="R20" s="20">
        <f t="shared" si="5"/>
        <v>1530000</v>
      </c>
      <c r="S20" s="20">
        <f t="shared" si="6"/>
        <v>1530000</v>
      </c>
      <c r="T20" s="20">
        <f t="shared" si="3"/>
        <v>0</v>
      </c>
      <c r="U20" s="20">
        <f t="shared" si="7"/>
        <v>1530000</v>
      </c>
    </row>
    <row r="21" spans="1:21" s="42" customFormat="1" ht="21" customHeight="1">
      <c r="A21" s="177">
        <v>5</v>
      </c>
      <c r="B21" s="8" t="s">
        <v>17</v>
      </c>
      <c r="C21" s="419" t="s">
        <v>1064</v>
      </c>
      <c r="D21" s="144" t="s">
        <v>1065</v>
      </c>
      <c r="E21" s="144" t="s">
        <v>1066</v>
      </c>
      <c r="F21" s="181" t="s">
        <v>1138</v>
      </c>
      <c r="G21" s="30">
        <v>7</v>
      </c>
      <c r="H21" s="20">
        <v>300</v>
      </c>
      <c r="I21" s="172">
        <v>2</v>
      </c>
      <c r="J21" s="173" t="s">
        <v>77</v>
      </c>
      <c r="K21" s="17">
        <v>1</v>
      </c>
      <c r="L21" s="175">
        <v>0</v>
      </c>
      <c r="M21" s="313">
        <f>G21*H21/5</f>
        <v>420</v>
      </c>
      <c r="N21" s="313">
        <f t="shared" si="4"/>
        <v>346.5</v>
      </c>
      <c r="O21" s="313">
        <f>M21*5.3*5.5+N21*2</f>
        <v>12936</v>
      </c>
      <c r="P21" s="21">
        <v>1</v>
      </c>
      <c r="Q21" s="20">
        <v>1</v>
      </c>
      <c r="R21" s="20">
        <f t="shared" si="5"/>
        <v>1530000</v>
      </c>
      <c r="S21" s="20">
        <f t="shared" si="6"/>
        <v>1530000</v>
      </c>
      <c r="T21" s="20">
        <f t="shared" si="3"/>
        <v>0</v>
      </c>
      <c r="U21" s="20">
        <f t="shared" si="7"/>
        <v>1530000</v>
      </c>
    </row>
    <row r="22" spans="1:21" s="42" customFormat="1" ht="21" customHeight="1">
      <c r="A22" s="177">
        <v>6</v>
      </c>
      <c r="B22" s="8" t="s">
        <v>17</v>
      </c>
      <c r="C22" s="419" t="s">
        <v>1340</v>
      </c>
      <c r="D22" s="144" t="s">
        <v>1341</v>
      </c>
      <c r="E22" s="144" t="s">
        <v>727</v>
      </c>
      <c r="F22" s="181" t="s">
        <v>1138</v>
      </c>
      <c r="G22" s="30">
        <v>9</v>
      </c>
      <c r="H22" s="20">
        <v>450</v>
      </c>
      <c r="I22" s="161">
        <v>2</v>
      </c>
      <c r="J22" s="173" t="s">
        <v>62</v>
      </c>
      <c r="K22" s="17">
        <v>1</v>
      </c>
      <c r="L22" s="19">
        <v>0</v>
      </c>
      <c r="M22" s="313">
        <f>G22*H22/5</f>
        <v>810</v>
      </c>
      <c r="N22" s="313">
        <f t="shared" si="4"/>
        <v>668.25</v>
      </c>
      <c r="O22" s="313">
        <f>M22*5.3*5.5+N22*2</f>
        <v>24948</v>
      </c>
      <c r="P22" s="21">
        <v>1</v>
      </c>
      <c r="Q22" s="20">
        <v>1</v>
      </c>
      <c r="R22" s="20">
        <f t="shared" si="5"/>
        <v>1530000</v>
      </c>
      <c r="S22" s="20">
        <f t="shared" si="6"/>
        <v>1530000</v>
      </c>
      <c r="T22" s="20">
        <f t="shared" si="3"/>
        <v>0</v>
      </c>
      <c r="U22" s="20">
        <f t="shared" si="7"/>
        <v>1530000</v>
      </c>
    </row>
    <row r="23" spans="1:21" ht="16.5" customHeight="1">
      <c r="A23" s="177">
        <v>7</v>
      </c>
      <c r="B23" s="8" t="s">
        <v>46</v>
      </c>
      <c r="C23" s="420" t="s">
        <v>1236</v>
      </c>
      <c r="D23" s="33" t="s">
        <v>1237</v>
      </c>
      <c r="E23" s="33"/>
      <c r="F23" s="33" t="s">
        <v>1147</v>
      </c>
      <c r="G23" s="30">
        <v>16</v>
      </c>
      <c r="H23" s="30">
        <v>800</v>
      </c>
      <c r="I23" s="30">
        <v>1</v>
      </c>
      <c r="J23" s="13" t="s">
        <v>77</v>
      </c>
      <c r="K23" s="17">
        <v>1</v>
      </c>
      <c r="L23" s="19"/>
      <c r="M23" s="313">
        <f>G23*H23*5/100</f>
        <v>640</v>
      </c>
      <c r="N23" s="313">
        <f>M23*0.15*7</f>
        <v>672</v>
      </c>
      <c r="O23" s="313">
        <f>M23*5.3*7+N23*2</f>
        <v>25088</v>
      </c>
      <c r="P23" s="21">
        <v>1</v>
      </c>
      <c r="Q23" s="20">
        <v>1</v>
      </c>
      <c r="R23" s="20">
        <f t="shared" si="5"/>
        <v>1530000</v>
      </c>
      <c r="S23" s="20">
        <f t="shared" si="6"/>
        <v>1530000</v>
      </c>
      <c r="T23" s="20">
        <f t="shared" si="3"/>
        <v>0</v>
      </c>
      <c r="U23" s="20">
        <f t="shared" si="7"/>
        <v>1530000</v>
      </c>
    </row>
    <row r="24" spans="1:21" ht="16.5" customHeight="1">
      <c r="A24" s="177">
        <v>8</v>
      </c>
      <c r="B24" s="8" t="s">
        <v>46</v>
      </c>
      <c r="C24" s="420" t="s">
        <v>1238</v>
      </c>
      <c r="D24" s="33" t="s">
        <v>1237</v>
      </c>
      <c r="E24" s="33"/>
      <c r="F24" s="33" t="s">
        <v>1147</v>
      </c>
      <c r="G24" s="30">
        <v>16</v>
      </c>
      <c r="H24" s="30">
        <v>800</v>
      </c>
      <c r="I24" s="30">
        <v>1</v>
      </c>
      <c r="J24" s="13" t="s">
        <v>77</v>
      </c>
      <c r="K24" s="17">
        <v>1</v>
      </c>
      <c r="L24" s="19"/>
      <c r="M24" s="313">
        <f>G24*H24*5/100</f>
        <v>640</v>
      </c>
      <c r="N24" s="313">
        <f>M24*0.15*7</f>
        <v>672</v>
      </c>
      <c r="O24" s="313">
        <f>M24*5.3*7+N24*2</f>
        <v>25088</v>
      </c>
      <c r="P24" s="21">
        <v>1</v>
      </c>
      <c r="Q24" s="20">
        <v>1</v>
      </c>
      <c r="R24" s="20">
        <f t="shared" si="5"/>
        <v>1530000</v>
      </c>
      <c r="S24" s="20">
        <f t="shared" si="6"/>
        <v>1530000</v>
      </c>
      <c r="T24" s="20">
        <f t="shared" si="3"/>
        <v>0</v>
      </c>
      <c r="U24" s="20">
        <f t="shared" si="7"/>
        <v>1530000</v>
      </c>
    </row>
    <row r="25" spans="1:21" ht="16.5" customHeight="1">
      <c r="A25" s="177">
        <v>9</v>
      </c>
      <c r="B25" s="8" t="s">
        <v>17</v>
      </c>
      <c r="C25" s="421" t="s">
        <v>1239</v>
      </c>
      <c r="D25" s="34" t="s">
        <v>1240</v>
      </c>
      <c r="E25" s="34"/>
      <c r="F25" s="33"/>
      <c r="G25" s="30">
        <v>13</v>
      </c>
      <c r="H25" s="30">
        <v>800</v>
      </c>
      <c r="I25" s="30">
        <v>1</v>
      </c>
      <c r="J25" s="13" t="s">
        <v>77</v>
      </c>
      <c r="K25" s="17">
        <v>1</v>
      </c>
      <c r="L25" s="19"/>
      <c r="M25" s="313">
        <f>G25*H25/5</f>
        <v>2080</v>
      </c>
      <c r="N25" s="313">
        <f>M25*0.15*5.5</f>
        <v>1716</v>
      </c>
      <c r="O25" s="313">
        <f>M25*5.3*5.5+N25*2</f>
        <v>64064</v>
      </c>
      <c r="P25" s="21">
        <v>1</v>
      </c>
      <c r="Q25" s="20">
        <v>1</v>
      </c>
      <c r="R25" s="20">
        <f t="shared" si="5"/>
        <v>1530000</v>
      </c>
      <c r="S25" s="20">
        <f t="shared" si="6"/>
        <v>1530000</v>
      </c>
      <c r="T25" s="20">
        <f t="shared" si="3"/>
        <v>0</v>
      </c>
      <c r="U25" s="20">
        <f t="shared" si="7"/>
        <v>1530000</v>
      </c>
    </row>
    <row r="26" spans="1:21" ht="16.5" customHeight="1">
      <c r="A26" s="186">
        <v>10</v>
      </c>
      <c r="B26" s="320" t="s">
        <v>46</v>
      </c>
      <c r="C26" s="354" t="s">
        <v>1503</v>
      </c>
      <c r="D26" s="181" t="s">
        <v>1504</v>
      </c>
      <c r="E26" s="181" t="s">
        <v>1507</v>
      </c>
      <c r="F26" s="181" t="s">
        <v>1505</v>
      </c>
      <c r="G26" s="315">
        <v>32</v>
      </c>
      <c r="H26" s="313">
        <v>5510</v>
      </c>
      <c r="I26" s="319">
        <v>4</v>
      </c>
      <c r="J26" s="318" t="s">
        <v>62</v>
      </c>
      <c r="K26" s="321">
        <v>1</v>
      </c>
      <c r="L26" s="322">
        <v>0</v>
      </c>
      <c r="M26" s="313">
        <f>G26*H26*5/100</f>
        <v>8816</v>
      </c>
      <c r="N26" s="313">
        <f>M26*0.15*7</f>
        <v>9256.8</v>
      </c>
      <c r="O26" s="313">
        <f>M26*5.3*7+N26*2</f>
        <v>345587.19999999995</v>
      </c>
      <c r="P26" s="323">
        <v>1</v>
      </c>
      <c r="Q26" s="316">
        <v>1</v>
      </c>
      <c r="R26" s="313">
        <v>1530000</v>
      </c>
      <c r="S26" s="313">
        <v>1530000</v>
      </c>
      <c r="T26" s="313">
        <v>0</v>
      </c>
      <c r="U26" s="316">
        <v>1530000</v>
      </c>
    </row>
    <row r="27" spans="1:21" ht="16.5" customHeight="1" thickBot="1">
      <c r="A27" s="186">
        <v>11</v>
      </c>
      <c r="B27" s="320" t="s">
        <v>46</v>
      </c>
      <c r="C27" s="354" t="s">
        <v>1506</v>
      </c>
      <c r="D27" s="181" t="s">
        <v>1504</v>
      </c>
      <c r="E27" s="181" t="s">
        <v>1507</v>
      </c>
      <c r="F27" s="181" t="s">
        <v>1138</v>
      </c>
      <c r="G27" s="315">
        <v>32</v>
      </c>
      <c r="H27" s="313">
        <v>5510</v>
      </c>
      <c r="I27" s="319">
        <v>4</v>
      </c>
      <c r="J27" s="318" t="s">
        <v>62</v>
      </c>
      <c r="K27" s="321">
        <v>1</v>
      </c>
      <c r="L27" s="322">
        <v>0</v>
      </c>
      <c r="M27" s="313">
        <f>G27*H27*5/100</f>
        <v>8816</v>
      </c>
      <c r="N27" s="313">
        <f>M27*0.15*7</f>
        <v>9256.8</v>
      </c>
      <c r="O27" s="313">
        <f>M27*5.3*7+N27*2</f>
        <v>345587.19999999995</v>
      </c>
      <c r="P27" s="314">
        <v>1</v>
      </c>
      <c r="Q27" s="313">
        <v>1</v>
      </c>
      <c r="R27" s="313">
        <v>1530000</v>
      </c>
      <c r="S27" s="313">
        <v>1530000</v>
      </c>
      <c r="T27" s="313">
        <v>0</v>
      </c>
      <c r="U27" s="313">
        <v>1530000</v>
      </c>
    </row>
    <row r="28" spans="1:21" s="42" customFormat="1" ht="22.5" customHeight="1">
      <c r="A28" s="367" t="s">
        <v>741</v>
      </c>
      <c r="B28" s="368"/>
      <c r="C28" s="369"/>
      <c r="D28" s="369"/>
      <c r="E28" s="368"/>
      <c r="F28" s="368"/>
      <c r="G28" s="370"/>
      <c r="H28" s="368"/>
      <c r="I28" s="368"/>
      <c r="J28" s="371"/>
      <c r="K28" s="372"/>
      <c r="L28" s="372"/>
      <c r="M28" s="368"/>
      <c r="N28" s="368"/>
      <c r="O28" s="368"/>
      <c r="P28" s="368">
        <f>SUM(P17:P27)</f>
        <v>11</v>
      </c>
      <c r="Q28" s="368"/>
      <c r="R28" s="368"/>
      <c r="S28" s="368"/>
      <c r="T28" s="368"/>
      <c r="U28" s="373"/>
    </row>
    <row r="29" spans="1:21" s="47" customFormat="1" ht="21" customHeight="1">
      <c r="A29" s="186">
        <v>1</v>
      </c>
      <c r="B29" s="187" t="s">
        <v>17</v>
      </c>
      <c r="C29" s="422" t="s">
        <v>1019</v>
      </c>
      <c r="D29" s="188" t="s">
        <v>1020</v>
      </c>
      <c r="E29" s="189" t="s">
        <v>727</v>
      </c>
      <c r="F29" s="189" t="s">
        <v>1138</v>
      </c>
      <c r="G29" s="30">
        <v>7</v>
      </c>
      <c r="H29" s="158">
        <v>230</v>
      </c>
      <c r="I29" s="190">
        <v>1</v>
      </c>
      <c r="J29" s="184" t="s">
        <v>62</v>
      </c>
      <c r="K29" s="191">
        <v>1</v>
      </c>
      <c r="L29" s="192">
        <v>0</v>
      </c>
      <c r="M29" s="313">
        <f>G29*H29*5/100</f>
        <v>80.5</v>
      </c>
      <c r="N29" s="313">
        <f>M29*0.15*7</f>
        <v>84.52499999999999</v>
      </c>
      <c r="O29" s="313">
        <f>M29*5.3*7+N29*2</f>
        <v>3155.6</v>
      </c>
      <c r="P29" s="193">
        <v>1</v>
      </c>
      <c r="Q29" s="158">
        <v>1</v>
      </c>
      <c r="R29" s="20">
        <f>45*$R$2</f>
        <v>1012500</v>
      </c>
      <c r="S29" s="158">
        <f>R29*Q29*P29*K29</f>
        <v>1012500</v>
      </c>
      <c r="T29" s="158">
        <f>R29*Q29*P29*L29</f>
        <v>0</v>
      </c>
      <c r="U29" s="158">
        <f>R29*Q29*P29</f>
        <v>1012500</v>
      </c>
    </row>
    <row r="30" spans="1:21" s="47" customFormat="1" ht="21" customHeight="1" thickBot="1">
      <c r="A30" s="186">
        <v>2</v>
      </c>
      <c r="B30" s="187" t="s">
        <v>17</v>
      </c>
      <c r="C30" s="423" t="s">
        <v>742</v>
      </c>
      <c r="D30" s="188" t="s">
        <v>743</v>
      </c>
      <c r="E30" s="189" t="s">
        <v>727</v>
      </c>
      <c r="F30" s="189" t="s">
        <v>1138</v>
      </c>
      <c r="G30" s="31">
        <v>5</v>
      </c>
      <c r="H30" s="158">
        <v>450</v>
      </c>
      <c r="I30" s="196">
        <v>1</v>
      </c>
      <c r="J30" s="197" t="s">
        <v>77</v>
      </c>
      <c r="K30" s="36">
        <v>1</v>
      </c>
      <c r="L30" s="37">
        <v>0</v>
      </c>
      <c r="M30" s="313">
        <f>G30*H30*5/100</f>
        <v>112.5</v>
      </c>
      <c r="N30" s="313">
        <f>M30*0.15*7</f>
        <v>118.125</v>
      </c>
      <c r="O30" s="313">
        <f>M30*5.3*7+N30*2</f>
        <v>4410</v>
      </c>
      <c r="P30" s="193">
        <v>1</v>
      </c>
      <c r="Q30" s="158">
        <v>1</v>
      </c>
      <c r="R30" s="158">
        <f>45*$R$2</f>
        <v>1012500</v>
      </c>
      <c r="S30" s="158">
        <f>R30*Q30*P30*K30</f>
        <v>1012500</v>
      </c>
      <c r="T30" s="158">
        <f>R30*Q30*P30*L30</f>
        <v>0</v>
      </c>
      <c r="U30" s="158">
        <f>R30*Q30*P30</f>
        <v>1012500</v>
      </c>
    </row>
    <row r="31" spans="1:21" s="42" customFormat="1" ht="22.5" customHeight="1">
      <c r="A31" s="367"/>
      <c r="B31" s="368"/>
      <c r="C31" s="369"/>
      <c r="D31" s="369"/>
      <c r="E31" s="368"/>
      <c r="F31" s="368"/>
      <c r="G31" s="370"/>
      <c r="H31" s="368"/>
      <c r="I31" s="368"/>
      <c r="J31" s="371"/>
      <c r="K31" s="372"/>
      <c r="L31" s="372"/>
      <c r="M31" s="368"/>
      <c r="N31" s="368"/>
      <c r="O31" s="368"/>
      <c r="P31" s="368">
        <f>SUM(P29:P30)</f>
        <v>2</v>
      </c>
      <c r="Q31" s="368"/>
      <c r="R31" s="368"/>
      <c r="S31" s="368"/>
      <c r="T31" s="368"/>
      <c r="U31" s="373"/>
    </row>
    <row r="32" spans="1:21" s="358" customFormat="1" ht="21" customHeight="1">
      <c r="A32" s="510" t="s">
        <v>369</v>
      </c>
      <c r="B32" s="510"/>
      <c r="C32" s="510"/>
      <c r="D32" s="510"/>
      <c r="E32" s="384"/>
      <c r="F32" s="384"/>
      <c r="G32" s="381"/>
      <c r="H32" s="385"/>
      <c r="I32" s="385"/>
      <c r="J32" s="386">
        <f aca="true" t="shared" si="8" ref="J32:O32">SUM(J7:J30)</f>
        <v>0</v>
      </c>
      <c r="K32" s="386">
        <f t="shared" si="8"/>
        <v>22</v>
      </c>
      <c r="L32" s="386">
        <f t="shared" si="8"/>
        <v>0</v>
      </c>
      <c r="M32" s="386">
        <f t="shared" si="8"/>
        <v>78625</v>
      </c>
      <c r="N32" s="386">
        <f t="shared" si="8"/>
        <v>74904.675</v>
      </c>
      <c r="O32" s="386">
        <f t="shared" si="8"/>
        <v>2571127.4</v>
      </c>
      <c r="P32" s="387">
        <f>P16+P28+P31</f>
        <v>22</v>
      </c>
      <c r="Q32" s="388"/>
      <c r="R32" s="388">
        <f>SUM(R7:R30)</f>
        <v>37080000</v>
      </c>
      <c r="S32" s="388">
        <f>SUM(S7:S30)</f>
        <v>37080000</v>
      </c>
      <c r="T32" s="389">
        <f>SUM(T7:T30)</f>
        <v>0</v>
      </c>
      <c r="U32" s="388">
        <f>SUM(U7:U30)</f>
        <v>37080000</v>
      </c>
    </row>
    <row r="33" ht="15">
      <c r="J33" s="40"/>
    </row>
    <row r="34" spans="3:10" ht="20.25">
      <c r="C34" s="29" t="s">
        <v>1302</v>
      </c>
      <c r="D34" s="12"/>
      <c r="J34" s="40"/>
    </row>
    <row r="35" spans="3:10" ht="15">
      <c r="C35" s="11" t="s">
        <v>915</v>
      </c>
      <c r="D35" s="12"/>
      <c r="J35" s="40"/>
    </row>
    <row r="36" spans="3:10" ht="15">
      <c r="C36" s="11" t="s">
        <v>916</v>
      </c>
      <c r="D36" s="12"/>
      <c r="J36" s="40"/>
    </row>
    <row r="37" spans="3:10" ht="15">
      <c r="C37" s="11" t="s">
        <v>917</v>
      </c>
      <c r="D37" s="12"/>
      <c r="J37" s="40"/>
    </row>
    <row r="38" spans="3:10" ht="15">
      <c r="C38" s="11" t="s">
        <v>918</v>
      </c>
      <c r="D38" s="12"/>
      <c r="J38" s="40"/>
    </row>
    <row r="39" spans="3:10" ht="15">
      <c r="C39" s="11" t="s">
        <v>919</v>
      </c>
      <c r="D39" s="12"/>
      <c r="J39" s="40"/>
    </row>
    <row r="40" spans="3:10" ht="15">
      <c r="C40" s="11" t="s">
        <v>920</v>
      </c>
      <c r="D40" s="12"/>
      <c r="J40" s="40"/>
    </row>
    <row r="41" spans="3:15" ht="15">
      <c r="C41" s="11" t="s">
        <v>921</v>
      </c>
      <c r="D41" s="12"/>
      <c r="J41" s="40"/>
      <c r="O41" s="311"/>
    </row>
    <row r="42" ht="15">
      <c r="J42" s="40"/>
    </row>
    <row r="43" ht="15">
      <c r="J43" s="40"/>
    </row>
    <row r="44" ht="15">
      <c r="J44" s="40"/>
    </row>
    <row r="45" ht="15">
      <c r="J45" s="40"/>
    </row>
    <row r="46" ht="15">
      <c r="J46" s="40"/>
    </row>
    <row r="47" ht="15">
      <c r="J47" s="40"/>
    </row>
    <row r="48" ht="15">
      <c r="J48" s="40"/>
    </row>
    <row r="49" ht="15">
      <c r="J49" s="40"/>
    </row>
    <row r="50" ht="15">
      <c r="J50" s="40"/>
    </row>
    <row r="51" ht="15">
      <c r="J51" s="40"/>
    </row>
    <row r="52" ht="15">
      <c r="J52" s="40"/>
    </row>
    <row r="53" ht="15">
      <c r="J53" s="40"/>
    </row>
    <row r="54" ht="15">
      <c r="J54" s="40"/>
    </row>
    <row r="55" ht="15">
      <c r="J55" s="40"/>
    </row>
    <row r="56" ht="15">
      <c r="J56" s="40"/>
    </row>
    <row r="57" ht="15">
      <c r="J57" s="40"/>
    </row>
    <row r="58" ht="15">
      <c r="J58" s="40"/>
    </row>
    <row r="59" ht="15">
      <c r="J59" s="40"/>
    </row>
    <row r="60" ht="15">
      <c r="J60" s="40"/>
    </row>
    <row r="61" ht="15">
      <c r="J61" s="40"/>
    </row>
    <row r="62" ht="15">
      <c r="J62" s="40"/>
    </row>
    <row r="63" ht="15">
      <c r="J63" s="40"/>
    </row>
    <row r="64" ht="15">
      <c r="J64" s="40"/>
    </row>
    <row r="65" ht="15">
      <c r="J65" s="40"/>
    </row>
    <row r="66" ht="15">
      <c r="J66" s="40"/>
    </row>
    <row r="67" ht="15">
      <c r="J67" s="40"/>
    </row>
    <row r="68" ht="15">
      <c r="J68" s="40"/>
    </row>
    <row r="69" ht="15">
      <c r="J69" s="40"/>
    </row>
    <row r="70" ht="15">
      <c r="J70" s="40"/>
    </row>
    <row r="71" ht="15">
      <c r="J71" s="40"/>
    </row>
    <row r="72" ht="15">
      <c r="J72" s="40"/>
    </row>
    <row r="73" ht="15">
      <c r="J73" s="40"/>
    </row>
    <row r="74" ht="15">
      <c r="J74" s="40"/>
    </row>
    <row r="75" ht="15">
      <c r="J75" s="40"/>
    </row>
    <row r="76" ht="15">
      <c r="J76" s="40"/>
    </row>
    <row r="77" ht="15">
      <c r="J77" s="40"/>
    </row>
    <row r="78" ht="15">
      <c r="J78" s="40"/>
    </row>
    <row r="79" ht="15">
      <c r="J79" s="40"/>
    </row>
    <row r="80" ht="15">
      <c r="J80" s="40"/>
    </row>
    <row r="81" ht="15">
      <c r="J81" s="40"/>
    </row>
    <row r="82" ht="15">
      <c r="J82" s="40"/>
    </row>
    <row r="83" ht="15">
      <c r="J83" s="40"/>
    </row>
    <row r="84" ht="15">
      <c r="J84" s="40"/>
    </row>
    <row r="85" ht="15">
      <c r="J85" s="40"/>
    </row>
    <row r="86" ht="15">
      <c r="J86" s="40"/>
    </row>
    <row r="87" ht="15">
      <c r="J87" s="40"/>
    </row>
    <row r="88" ht="15">
      <c r="J88" s="40"/>
    </row>
    <row r="89" ht="15">
      <c r="J89" s="40"/>
    </row>
    <row r="90" ht="15">
      <c r="J90" s="40"/>
    </row>
    <row r="91" ht="15">
      <c r="J91" s="40"/>
    </row>
    <row r="92" ht="15">
      <c r="J92" s="40"/>
    </row>
    <row r="93" ht="15">
      <c r="J93" s="40"/>
    </row>
    <row r="94" ht="15">
      <c r="J94" s="40"/>
    </row>
    <row r="95" ht="15">
      <c r="J95" s="40"/>
    </row>
    <row r="96" ht="15">
      <c r="J96" s="40"/>
    </row>
    <row r="97" ht="15">
      <c r="J97" s="40"/>
    </row>
    <row r="98" ht="15">
      <c r="J98" s="40"/>
    </row>
    <row r="99" ht="15">
      <c r="J99" s="40"/>
    </row>
    <row r="100" ht="15">
      <c r="J100" s="40"/>
    </row>
    <row r="101" ht="15">
      <c r="J101" s="40"/>
    </row>
    <row r="102" ht="15">
      <c r="J102" s="40"/>
    </row>
    <row r="103" ht="15">
      <c r="J103" s="40"/>
    </row>
    <row r="104" ht="15">
      <c r="J104" s="40"/>
    </row>
    <row r="105" ht="15">
      <c r="J105" s="40"/>
    </row>
    <row r="106" ht="15">
      <c r="J106" s="40"/>
    </row>
    <row r="107" ht="15">
      <c r="J107" s="40"/>
    </row>
    <row r="108" ht="15">
      <c r="J108" s="40"/>
    </row>
    <row r="109" ht="15">
      <c r="J109" s="40"/>
    </row>
    <row r="110" ht="15">
      <c r="J110" s="40"/>
    </row>
    <row r="111" ht="15">
      <c r="J111" s="40"/>
    </row>
    <row r="112" ht="15">
      <c r="J112" s="40"/>
    </row>
    <row r="113" ht="15">
      <c r="J113" s="40"/>
    </row>
    <row r="114" ht="15">
      <c r="J114" s="40"/>
    </row>
    <row r="115" ht="15">
      <c r="J115" s="40"/>
    </row>
    <row r="116" ht="15">
      <c r="J116" s="40"/>
    </row>
    <row r="117" ht="15">
      <c r="J117" s="40"/>
    </row>
    <row r="118" ht="15">
      <c r="J118" s="40"/>
    </row>
    <row r="119" ht="15">
      <c r="J119" s="40"/>
    </row>
    <row r="120" ht="15">
      <c r="J120" s="40"/>
    </row>
    <row r="121" ht="15">
      <c r="J121" s="40"/>
    </row>
    <row r="122" ht="15">
      <c r="J122" s="40"/>
    </row>
    <row r="123" ht="15">
      <c r="J123" s="40"/>
    </row>
    <row r="124" ht="15">
      <c r="J124" s="40"/>
    </row>
    <row r="125" ht="15">
      <c r="J125" s="40"/>
    </row>
    <row r="126" ht="15">
      <c r="J126" s="40"/>
    </row>
    <row r="127" ht="15">
      <c r="J127" s="40"/>
    </row>
    <row r="128" ht="15">
      <c r="J128" s="40"/>
    </row>
    <row r="129" ht="15">
      <c r="J129" s="40"/>
    </row>
    <row r="130" ht="15">
      <c r="J130" s="40"/>
    </row>
    <row r="131" ht="15">
      <c r="J131" s="40"/>
    </row>
    <row r="132" ht="15">
      <c r="J132" s="40"/>
    </row>
    <row r="133" ht="15">
      <c r="J133" s="40"/>
    </row>
    <row r="134" ht="15">
      <c r="J134" s="40"/>
    </row>
    <row r="135" ht="15">
      <c r="J135" s="40"/>
    </row>
    <row r="136" ht="15">
      <c r="J136" s="40"/>
    </row>
    <row r="137" ht="15">
      <c r="J137" s="40"/>
    </row>
    <row r="138" ht="15">
      <c r="J138" s="40"/>
    </row>
    <row r="139" ht="15">
      <c r="J139" s="40"/>
    </row>
    <row r="140" ht="15">
      <c r="J140" s="40"/>
    </row>
    <row r="141" ht="15">
      <c r="J141" s="40"/>
    </row>
    <row r="142" ht="15">
      <c r="J142" s="40"/>
    </row>
    <row r="143" ht="15">
      <c r="J143" s="40"/>
    </row>
    <row r="144" ht="15">
      <c r="J144" s="40"/>
    </row>
    <row r="145" ht="15">
      <c r="J145" s="40"/>
    </row>
    <row r="146" ht="15">
      <c r="J146" s="40"/>
    </row>
    <row r="147" ht="15">
      <c r="J147" s="40"/>
    </row>
    <row r="148" ht="15">
      <c r="J148" s="40"/>
    </row>
    <row r="149" ht="15">
      <c r="J149" s="40"/>
    </row>
    <row r="150" ht="15">
      <c r="J150" s="40"/>
    </row>
    <row r="151" ht="15">
      <c r="J151" s="40"/>
    </row>
    <row r="152" ht="15">
      <c r="J152" s="40"/>
    </row>
    <row r="153" ht="15">
      <c r="J153" s="40"/>
    </row>
    <row r="154" ht="15">
      <c r="J154" s="40"/>
    </row>
    <row r="155" ht="15">
      <c r="J155" s="40"/>
    </row>
    <row r="156" ht="15">
      <c r="J156" s="40"/>
    </row>
    <row r="157" ht="15">
      <c r="J157" s="40"/>
    </row>
    <row r="158" ht="15">
      <c r="J158" s="40"/>
    </row>
    <row r="159" ht="15">
      <c r="J159" s="40"/>
    </row>
    <row r="160" ht="15">
      <c r="J160" s="40"/>
    </row>
    <row r="161" ht="15">
      <c r="J161" s="40"/>
    </row>
    <row r="162" ht="15">
      <c r="J162" s="40"/>
    </row>
    <row r="163" ht="15">
      <c r="J163" s="40"/>
    </row>
    <row r="164" ht="15">
      <c r="J164" s="40"/>
    </row>
    <row r="165" ht="15">
      <c r="J165" s="40"/>
    </row>
    <row r="166" ht="15">
      <c r="J166" s="40"/>
    </row>
    <row r="167" ht="15">
      <c r="J167" s="40"/>
    </row>
    <row r="168" ht="15">
      <c r="J168" s="40"/>
    </row>
    <row r="169" ht="15">
      <c r="J169" s="40"/>
    </row>
    <row r="170" ht="15">
      <c r="J170" s="40"/>
    </row>
    <row r="171" ht="15">
      <c r="J171" s="40"/>
    </row>
    <row r="172" ht="15">
      <c r="J172" s="40"/>
    </row>
    <row r="173" ht="15">
      <c r="J173" s="40"/>
    </row>
    <row r="174" ht="15">
      <c r="J174" s="40"/>
    </row>
    <row r="175" ht="15">
      <c r="J175" s="40"/>
    </row>
    <row r="176" ht="15">
      <c r="J176" s="40"/>
    </row>
    <row r="177" ht="15">
      <c r="J177" s="40"/>
    </row>
    <row r="178" ht="15">
      <c r="J178" s="40"/>
    </row>
    <row r="179" ht="15">
      <c r="J179" s="40"/>
    </row>
    <row r="180" ht="15">
      <c r="J180" s="40"/>
    </row>
    <row r="181" ht="15">
      <c r="J181" s="40"/>
    </row>
    <row r="182" ht="15">
      <c r="J182" s="40"/>
    </row>
    <row r="183" ht="15">
      <c r="J183" s="40"/>
    </row>
    <row r="184" ht="15">
      <c r="J184" s="40"/>
    </row>
    <row r="185" ht="15">
      <c r="J185" s="40"/>
    </row>
    <row r="186" ht="15">
      <c r="J186" s="40"/>
    </row>
    <row r="187" ht="15">
      <c r="J187" s="40"/>
    </row>
    <row r="188" ht="15">
      <c r="J188" s="40"/>
    </row>
    <row r="189" ht="15">
      <c r="J189" s="40"/>
    </row>
    <row r="190" ht="15">
      <c r="J190" s="40"/>
    </row>
    <row r="191" ht="15">
      <c r="J191" s="40"/>
    </row>
    <row r="192" ht="15">
      <c r="J192" s="40"/>
    </row>
    <row r="193" ht="15">
      <c r="J193" s="40"/>
    </row>
    <row r="194" ht="15">
      <c r="J194" s="40"/>
    </row>
    <row r="195" ht="15">
      <c r="J195" s="40"/>
    </row>
    <row r="196" ht="15">
      <c r="J196" s="40"/>
    </row>
    <row r="197" ht="15">
      <c r="J197" s="40"/>
    </row>
    <row r="198" ht="15">
      <c r="J198" s="40"/>
    </row>
    <row r="199" ht="15">
      <c r="J199" s="40"/>
    </row>
    <row r="200" ht="15">
      <c r="J200" s="40"/>
    </row>
    <row r="201" ht="15">
      <c r="J201" s="40"/>
    </row>
    <row r="202" ht="15">
      <c r="J202" s="40"/>
    </row>
    <row r="203" ht="15">
      <c r="J203" s="40"/>
    </row>
    <row r="204" ht="15">
      <c r="J204" s="40"/>
    </row>
    <row r="205" ht="15">
      <c r="J205" s="40"/>
    </row>
    <row r="206" ht="15">
      <c r="J206" s="40"/>
    </row>
    <row r="207" ht="15">
      <c r="J207" s="40"/>
    </row>
    <row r="208" ht="15">
      <c r="J208" s="40"/>
    </row>
    <row r="209" ht="15">
      <c r="J209" s="40"/>
    </row>
    <row r="210" ht="15">
      <c r="J210" s="40"/>
    </row>
    <row r="211" ht="15">
      <c r="J211" s="40"/>
    </row>
    <row r="212" ht="15">
      <c r="J212" s="40"/>
    </row>
    <row r="213" ht="15">
      <c r="J213" s="40"/>
    </row>
    <row r="214" ht="15">
      <c r="J214" s="40"/>
    </row>
    <row r="215" ht="15">
      <c r="J215" s="40"/>
    </row>
    <row r="216" ht="15">
      <c r="J216" s="40"/>
    </row>
    <row r="217" ht="15">
      <c r="J217" s="40"/>
    </row>
    <row r="218" ht="15">
      <c r="J218" s="40"/>
    </row>
    <row r="219" ht="15">
      <c r="J219" s="40"/>
    </row>
    <row r="220" ht="15">
      <c r="J220" s="40"/>
    </row>
    <row r="221" ht="15">
      <c r="J221" s="40"/>
    </row>
    <row r="222" ht="15">
      <c r="J222" s="40"/>
    </row>
    <row r="223" ht="15">
      <c r="J223" s="40"/>
    </row>
    <row r="224" ht="15">
      <c r="J224" s="40"/>
    </row>
    <row r="225" ht="15">
      <c r="J225" s="40"/>
    </row>
    <row r="226" ht="15">
      <c r="J226" s="40"/>
    </row>
    <row r="227" ht="15">
      <c r="J227" s="40"/>
    </row>
    <row r="228" ht="15">
      <c r="J228" s="40"/>
    </row>
    <row r="229" ht="15">
      <c r="J229" s="40"/>
    </row>
    <row r="230" ht="15">
      <c r="J230" s="40"/>
    </row>
    <row r="231" ht="15">
      <c r="J231" s="40"/>
    </row>
    <row r="232" ht="15">
      <c r="J232" s="40"/>
    </row>
    <row r="233" ht="15">
      <c r="J233" s="40"/>
    </row>
    <row r="234" ht="15">
      <c r="J234" s="40"/>
    </row>
    <row r="235" ht="15">
      <c r="J235" s="40"/>
    </row>
    <row r="236" ht="15">
      <c r="J236" s="40"/>
    </row>
    <row r="237" ht="15">
      <c r="J237" s="40"/>
    </row>
    <row r="238" ht="15">
      <c r="J238" s="40"/>
    </row>
    <row r="239" ht="15">
      <c r="J239" s="40"/>
    </row>
    <row r="240" ht="15">
      <c r="J240" s="40"/>
    </row>
    <row r="241" ht="15">
      <c r="J241" s="40"/>
    </row>
    <row r="242" ht="15">
      <c r="J242" s="40"/>
    </row>
    <row r="243" ht="15">
      <c r="J243" s="40"/>
    </row>
    <row r="244" ht="15">
      <c r="J244" s="40"/>
    </row>
    <row r="245" ht="15">
      <c r="J245" s="40"/>
    </row>
    <row r="246" ht="15">
      <c r="J246" s="40"/>
    </row>
    <row r="247" ht="15">
      <c r="J247" s="40"/>
    </row>
    <row r="248" ht="15">
      <c r="J248" s="40"/>
    </row>
    <row r="249" ht="15">
      <c r="J249" s="40"/>
    </row>
    <row r="250" ht="15">
      <c r="J250" s="40"/>
    </row>
    <row r="251" ht="15">
      <c r="J251" s="40"/>
    </row>
    <row r="252" ht="15">
      <c r="J252" s="40"/>
    </row>
    <row r="253" ht="15">
      <c r="J253" s="40"/>
    </row>
    <row r="254" ht="15">
      <c r="J254" s="40"/>
    </row>
    <row r="255" ht="15">
      <c r="J255" s="40"/>
    </row>
    <row r="256" ht="15">
      <c r="J256" s="40"/>
    </row>
    <row r="257" ht="15">
      <c r="J257" s="40"/>
    </row>
    <row r="258" ht="15">
      <c r="J258" s="40"/>
    </row>
    <row r="259" ht="15">
      <c r="J259" s="40"/>
    </row>
    <row r="260" ht="15">
      <c r="J260" s="40"/>
    </row>
    <row r="261" ht="15">
      <c r="J261" s="40"/>
    </row>
    <row r="262" ht="15">
      <c r="J262" s="40"/>
    </row>
    <row r="263" ht="15">
      <c r="J263" s="40"/>
    </row>
    <row r="264" ht="15">
      <c r="J264" s="40"/>
    </row>
    <row r="265" ht="15">
      <c r="J265" s="40"/>
    </row>
    <row r="266" ht="15">
      <c r="J266" s="40"/>
    </row>
    <row r="267" ht="15">
      <c r="J267" s="40"/>
    </row>
    <row r="268" ht="15">
      <c r="J268" s="40"/>
    </row>
    <row r="269" ht="15">
      <c r="J269" s="40"/>
    </row>
    <row r="270" ht="15">
      <c r="J270" s="40"/>
    </row>
    <row r="271" ht="15">
      <c r="J271" s="40"/>
    </row>
    <row r="272" ht="15">
      <c r="J272" s="40"/>
    </row>
    <row r="273" ht="15">
      <c r="J273" s="40"/>
    </row>
    <row r="274" ht="15">
      <c r="J274" s="40"/>
    </row>
    <row r="275" ht="15">
      <c r="J275" s="40"/>
    </row>
    <row r="276" ht="15">
      <c r="J276" s="40"/>
    </row>
    <row r="277" ht="15">
      <c r="J277" s="40"/>
    </row>
    <row r="278" ht="15">
      <c r="J278" s="40"/>
    </row>
    <row r="279" ht="15">
      <c r="J279" s="40"/>
    </row>
    <row r="280" ht="15">
      <c r="J280" s="40"/>
    </row>
    <row r="281" ht="15">
      <c r="J281" s="40"/>
    </row>
    <row r="282" ht="15">
      <c r="J282" s="40"/>
    </row>
    <row r="283" ht="15">
      <c r="J283" s="40"/>
    </row>
    <row r="284" ht="15">
      <c r="J284" s="40"/>
    </row>
    <row r="285" ht="15">
      <c r="J285" s="40"/>
    </row>
    <row r="286" ht="15">
      <c r="J286" s="40"/>
    </row>
    <row r="287" ht="15">
      <c r="J287" s="40"/>
    </row>
    <row r="288" ht="15">
      <c r="J288" s="40"/>
    </row>
    <row r="289" ht="15">
      <c r="J289" s="40"/>
    </row>
    <row r="290" ht="15">
      <c r="J290" s="40"/>
    </row>
    <row r="291" ht="15">
      <c r="J291" s="40"/>
    </row>
    <row r="292" ht="15">
      <c r="J292" s="40"/>
    </row>
    <row r="293" ht="15">
      <c r="J293" s="40"/>
    </row>
    <row r="294" ht="15">
      <c r="J294" s="40"/>
    </row>
    <row r="295" ht="15">
      <c r="J295" s="40"/>
    </row>
    <row r="296" ht="15">
      <c r="J296" s="40"/>
    </row>
    <row r="297" ht="15">
      <c r="J297" s="40"/>
    </row>
    <row r="298" ht="15">
      <c r="J298" s="40"/>
    </row>
    <row r="299" ht="15">
      <c r="J299" s="40"/>
    </row>
    <row r="300" ht="15">
      <c r="J300" s="40"/>
    </row>
    <row r="301" ht="15">
      <c r="J301" s="40"/>
    </row>
    <row r="302" ht="15">
      <c r="J302" s="40"/>
    </row>
    <row r="303" ht="15">
      <c r="J303" s="40"/>
    </row>
    <row r="304" ht="15">
      <c r="J304" s="40"/>
    </row>
    <row r="305" ht="15">
      <c r="J305" s="40"/>
    </row>
    <row r="306" ht="15">
      <c r="J306" s="40"/>
    </row>
    <row r="307" ht="15">
      <c r="J307" s="40"/>
    </row>
    <row r="308" ht="15">
      <c r="J308" s="40"/>
    </row>
    <row r="309" ht="15">
      <c r="J309" s="40"/>
    </row>
    <row r="310" ht="15">
      <c r="J310" s="40"/>
    </row>
    <row r="311" ht="15">
      <c r="J311" s="40"/>
    </row>
    <row r="312" ht="15">
      <c r="J312" s="40"/>
    </row>
    <row r="313" ht="15">
      <c r="J313" s="40"/>
    </row>
    <row r="314" ht="15">
      <c r="J314" s="40"/>
    </row>
    <row r="315" ht="15">
      <c r="J315" s="40"/>
    </row>
    <row r="316" ht="15">
      <c r="J316" s="40"/>
    </row>
    <row r="317" ht="15">
      <c r="J317" s="40"/>
    </row>
    <row r="318" ht="15">
      <c r="J318" s="40"/>
    </row>
    <row r="319" ht="15">
      <c r="J319" s="40"/>
    </row>
    <row r="320" ht="15">
      <c r="J320" s="40"/>
    </row>
    <row r="321" ht="15">
      <c r="J321" s="40"/>
    </row>
    <row r="322" ht="15">
      <c r="J322" s="40"/>
    </row>
    <row r="323" ht="15">
      <c r="J323" s="40"/>
    </row>
    <row r="324" ht="15">
      <c r="J324" s="40"/>
    </row>
    <row r="325" ht="15">
      <c r="J325" s="40"/>
    </row>
    <row r="326" ht="15">
      <c r="J326" s="40"/>
    </row>
    <row r="327" ht="15">
      <c r="J327" s="40"/>
    </row>
    <row r="328" ht="15">
      <c r="J328" s="40"/>
    </row>
    <row r="329" ht="15">
      <c r="J329" s="40"/>
    </row>
    <row r="330" ht="15">
      <c r="J330" s="40"/>
    </row>
    <row r="331" ht="15">
      <c r="J331" s="40"/>
    </row>
    <row r="332" ht="15">
      <c r="J332" s="40"/>
    </row>
    <row r="333" ht="15">
      <c r="J333" s="40"/>
    </row>
    <row r="334" ht="15">
      <c r="J334" s="40"/>
    </row>
    <row r="335" ht="15">
      <c r="J335" s="40"/>
    </row>
    <row r="336" ht="15">
      <c r="J336" s="40"/>
    </row>
    <row r="337" ht="15">
      <c r="J337" s="40"/>
    </row>
    <row r="338" ht="15">
      <c r="J338" s="40"/>
    </row>
    <row r="339" ht="15">
      <c r="J339" s="40"/>
    </row>
    <row r="340" ht="15">
      <c r="J340" s="40"/>
    </row>
    <row r="341" ht="15">
      <c r="J341" s="40"/>
    </row>
    <row r="342" ht="15">
      <c r="J342" s="40"/>
    </row>
    <row r="343" ht="15">
      <c r="J343" s="40"/>
    </row>
    <row r="344" ht="15">
      <c r="J344" s="40"/>
    </row>
    <row r="345" ht="15">
      <c r="J345" s="40"/>
    </row>
    <row r="346" ht="15">
      <c r="J346" s="40"/>
    </row>
    <row r="347" ht="15">
      <c r="J347" s="40"/>
    </row>
    <row r="348" ht="15">
      <c r="J348" s="40"/>
    </row>
    <row r="349" ht="15">
      <c r="J349" s="40"/>
    </row>
    <row r="350" ht="15">
      <c r="J350" s="40"/>
    </row>
    <row r="351" ht="15">
      <c r="J351" s="40"/>
    </row>
    <row r="352" ht="15">
      <c r="J352" s="40"/>
    </row>
    <row r="353" ht="15">
      <c r="J353" s="40"/>
    </row>
    <row r="354" ht="15">
      <c r="J354" s="40"/>
    </row>
    <row r="355" ht="15">
      <c r="J355" s="40"/>
    </row>
    <row r="356" ht="15">
      <c r="J356" s="40"/>
    </row>
    <row r="357" ht="15">
      <c r="J357" s="40"/>
    </row>
    <row r="358" ht="15">
      <c r="J358" s="40"/>
    </row>
    <row r="359" ht="15">
      <c r="J359" s="40"/>
    </row>
    <row r="360" ht="15">
      <c r="J360" s="40"/>
    </row>
    <row r="361" ht="15">
      <c r="J361" s="40"/>
    </row>
    <row r="362" ht="15">
      <c r="J362" s="40"/>
    </row>
    <row r="363" ht="15">
      <c r="J363" s="40"/>
    </row>
    <row r="364" ht="15">
      <c r="J364" s="40"/>
    </row>
    <row r="365" ht="15">
      <c r="J365" s="40"/>
    </row>
    <row r="366" ht="15">
      <c r="J366" s="40"/>
    </row>
    <row r="367" ht="15">
      <c r="J367" s="40"/>
    </row>
    <row r="368" ht="15">
      <c r="J368" s="40"/>
    </row>
    <row r="369" ht="15">
      <c r="J369" s="40"/>
    </row>
    <row r="370" ht="15">
      <c r="J370" s="40"/>
    </row>
    <row r="371" ht="15">
      <c r="J371" s="40"/>
    </row>
    <row r="372" ht="15">
      <c r="J372" s="40"/>
    </row>
    <row r="373" ht="15">
      <c r="J373" s="40"/>
    </row>
    <row r="374" ht="15">
      <c r="J374" s="40"/>
    </row>
    <row r="375" ht="15">
      <c r="J375" s="40"/>
    </row>
    <row r="376" ht="15">
      <c r="J376" s="40"/>
    </row>
    <row r="377" ht="15">
      <c r="J377" s="40"/>
    </row>
    <row r="378" ht="15">
      <c r="J378" s="40"/>
    </row>
    <row r="379" ht="15">
      <c r="J379" s="40"/>
    </row>
    <row r="380" ht="15">
      <c r="J380" s="40"/>
    </row>
    <row r="381" ht="15">
      <c r="J381" s="40"/>
    </row>
    <row r="382" ht="15">
      <c r="J382" s="40"/>
    </row>
    <row r="383" ht="15">
      <c r="J383" s="40"/>
    </row>
    <row r="384" ht="15">
      <c r="J384" s="40"/>
    </row>
    <row r="385" ht="15">
      <c r="J385" s="40"/>
    </row>
    <row r="386" ht="15">
      <c r="J386" s="40"/>
    </row>
    <row r="387" ht="15">
      <c r="J387" s="40"/>
    </row>
    <row r="388" ht="15">
      <c r="J388" s="40"/>
    </row>
    <row r="389" ht="15">
      <c r="J389" s="40"/>
    </row>
    <row r="390" ht="15">
      <c r="J390" s="40"/>
    </row>
    <row r="391" ht="15">
      <c r="J391" s="40"/>
    </row>
    <row r="392" ht="15">
      <c r="J392" s="40"/>
    </row>
    <row r="393" ht="15">
      <c r="J393" s="40"/>
    </row>
    <row r="394" ht="15">
      <c r="J394" s="40"/>
    </row>
    <row r="395" ht="15">
      <c r="J395" s="40"/>
    </row>
    <row r="396" ht="15">
      <c r="J396" s="40"/>
    </row>
    <row r="397" ht="15">
      <c r="J397" s="40"/>
    </row>
    <row r="398" ht="15">
      <c r="J398" s="40"/>
    </row>
    <row r="399" ht="15">
      <c r="J399" s="40"/>
    </row>
    <row r="400" ht="15">
      <c r="J400" s="40"/>
    </row>
    <row r="401" ht="15">
      <c r="J401" s="40"/>
    </row>
    <row r="402" ht="15">
      <c r="J402" s="40"/>
    </row>
    <row r="403" ht="15">
      <c r="J403" s="40"/>
    </row>
    <row r="404" ht="15">
      <c r="J404" s="40"/>
    </row>
    <row r="405" ht="15">
      <c r="J405" s="40"/>
    </row>
    <row r="406" ht="15">
      <c r="J406" s="40"/>
    </row>
    <row r="407" ht="15">
      <c r="J407" s="40"/>
    </row>
    <row r="408" ht="15">
      <c r="J408" s="40"/>
    </row>
    <row r="409" ht="15">
      <c r="J409" s="40"/>
    </row>
    <row r="410" ht="15">
      <c r="J410" s="40"/>
    </row>
    <row r="411" ht="15">
      <c r="J411" s="40"/>
    </row>
    <row r="412" ht="15">
      <c r="J412" s="40"/>
    </row>
    <row r="413" ht="15">
      <c r="J413" s="40"/>
    </row>
    <row r="414" ht="15">
      <c r="J414" s="40"/>
    </row>
    <row r="415" ht="15">
      <c r="J415" s="40"/>
    </row>
    <row r="416" ht="15">
      <c r="J416" s="40"/>
    </row>
    <row r="417" ht="15">
      <c r="J417" s="40"/>
    </row>
    <row r="418" ht="15">
      <c r="J418" s="40"/>
    </row>
    <row r="419" ht="15">
      <c r="J419" s="40"/>
    </row>
    <row r="420" ht="15">
      <c r="J420" s="40"/>
    </row>
    <row r="421" ht="15">
      <c r="J421" s="40"/>
    </row>
    <row r="422" ht="15">
      <c r="J422" s="40"/>
    </row>
    <row r="423" ht="15">
      <c r="J423" s="40"/>
    </row>
    <row r="424" ht="15">
      <c r="J424" s="40"/>
    </row>
    <row r="425" ht="15">
      <c r="J425" s="40"/>
    </row>
    <row r="426" ht="15">
      <c r="J426" s="40"/>
    </row>
    <row r="427" ht="15">
      <c r="J427" s="40"/>
    </row>
    <row r="428" ht="15">
      <c r="J428" s="40"/>
    </row>
    <row r="429" ht="15">
      <c r="J429" s="40"/>
    </row>
    <row r="430" ht="15">
      <c r="J430" s="40"/>
    </row>
    <row r="431" ht="15">
      <c r="J431" s="40"/>
    </row>
    <row r="432" ht="15">
      <c r="J432" s="40"/>
    </row>
    <row r="433" ht="15">
      <c r="J433" s="40"/>
    </row>
    <row r="434" ht="15">
      <c r="J434" s="40"/>
    </row>
    <row r="435" ht="15">
      <c r="J435" s="40"/>
    </row>
    <row r="436" ht="15">
      <c r="J436" s="40"/>
    </row>
    <row r="437" ht="15">
      <c r="J437" s="40"/>
    </row>
    <row r="438" ht="15">
      <c r="J438" s="40"/>
    </row>
    <row r="439" ht="15">
      <c r="J439" s="40"/>
    </row>
    <row r="440" ht="15">
      <c r="J440" s="40"/>
    </row>
    <row r="441" ht="15">
      <c r="J441" s="40"/>
    </row>
    <row r="442" ht="15">
      <c r="J442" s="40"/>
    </row>
    <row r="443" ht="15">
      <c r="J443" s="40"/>
    </row>
    <row r="444" ht="15">
      <c r="J444" s="40"/>
    </row>
    <row r="445" ht="15">
      <c r="J445" s="40"/>
    </row>
    <row r="446" ht="15">
      <c r="J446" s="40"/>
    </row>
    <row r="447" ht="15">
      <c r="J447" s="40"/>
    </row>
    <row r="448" ht="15">
      <c r="J448" s="40"/>
    </row>
    <row r="449" ht="15">
      <c r="J449" s="40"/>
    </row>
    <row r="450" ht="15">
      <c r="J450" s="40"/>
    </row>
    <row r="451" ht="15">
      <c r="J451" s="40"/>
    </row>
    <row r="452" ht="15">
      <c r="J452" s="40"/>
    </row>
    <row r="453" ht="15">
      <c r="J453" s="40"/>
    </row>
    <row r="454" ht="15">
      <c r="J454" s="40"/>
    </row>
    <row r="455" ht="15">
      <c r="J455" s="40"/>
    </row>
    <row r="456" ht="15">
      <c r="J456" s="40"/>
    </row>
    <row r="457" ht="15">
      <c r="J457" s="40"/>
    </row>
    <row r="458" ht="15">
      <c r="J458" s="40"/>
    </row>
    <row r="459" ht="15">
      <c r="J459" s="40"/>
    </row>
    <row r="460" ht="15">
      <c r="J460" s="40"/>
    </row>
    <row r="461" ht="15">
      <c r="J461" s="40"/>
    </row>
    <row r="462" ht="15">
      <c r="J462" s="40"/>
    </row>
    <row r="463" ht="15">
      <c r="J463" s="40"/>
    </row>
    <row r="464" ht="15">
      <c r="J464" s="40"/>
    </row>
    <row r="465" ht="15">
      <c r="J465" s="40"/>
    </row>
    <row r="466" ht="15">
      <c r="J466" s="40"/>
    </row>
    <row r="467" ht="15">
      <c r="J467" s="40"/>
    </row>
    <row r="468" ht="15">
      <c r="J468" s="40"/>
    </row>
    <row r="469" ht="15">
      <c r="J469" s="40"/>
    </row>
    <row r="470" ht="15">
      <c r="J470" s="40"/>
    </row>
    <row r="471" ht="15">
      <c r="J471" s="40"/>
    </row>
    <row r="472" ht="15">
      <c r="J472" s="40"/>
    </row>
    <row r="473" ht="15">
      <c r="J473" s="40"/>
    </row>
    <row r="474" ht="15">
      <c r="J474" s="40"/>
    </row>
    <row r="475" ht="15">
      <c r="J475" s="40"/>
    </row>
    <row r="476" ht="15">
      <c r="J476" s="40"/>
    </row>
    <row r="477" ht="15">
      <c r="J477" s="40"/>
    </row>
    <row r="478" ht="15">
      <c r="J478" s="40"/>
    </row>
    <row r="479" ht="15">
      <c r="J479" s="40"/>
    </row>
    <row r="480" ht="15">
      <c r="J480" s="40"/>
    </row>
    <row r="481" ht="15">
      <c r="J481" s="40"/>
    </row>
    <row r="482" ht="15">
      <c r="J482" s="40"/>
    </row>
    <row r="483" ht="15">
      <c r="J483" s="40"/>
    </row>
    <row r="484" ht="15">
      <c r="J484" s="40"/>
    </row>
    <row r="485" ht="15">
      <c r="J485" s="40"/>
    </row>
    <row r="486" ht="15">
      <c r="J486" s="40"/>
    </row>
    <row r="487" ht="15">
      <c r="J487" s="40"/>
    </row>
    <row r="488" ht="15">
      <c r="J488" s="40"/>
    </row>
    <row r="489" ht="15">
      <c r="J489" s="40"/>
    </row>
    <row r="490" ht="15">
      <c r="J490" s="40"/>
    </row>
    <row r="491" ht="15">
      <c r="J491" s="40"/>
    </row>
    <row r="492" ht="15">
      <c r="J492" s="40"/>
    </row>
    <row r="493" ht="15">
      <c r="J493" s="40"/>
    </row>
    <row r="494" ht="15">
      <c r="J494" s="40"/>
    </row>
    <row r="495" ht="15">
      <c r="J495" s="40"/>
    </row>
    <row r="496" ht="15">
      <c r="J496" s="40"/>
    </row>
    <row r="497" ht="15">
      <c r="J497" s="40"/>
    </row>
    <row r="498" ht="15">
      <c r="J498" s="40"/>
    </row>
    <row r="499" ht="15">
      <c r="J499" s="40"/>
    </row>
    <row r="500" ht="15">
      <c r="J500" s="40"/>
    </row>
    <row r="501" ht="15">
      <c r="J501" s="40"/>
    </row>
    <row r="502" ht="15">
      <c r="J502" s="40"/>
    </row>
    <row r="503" ht="15">
      <c r="J503" s="40"/>
    </row>
    <row r="504" ht="15">
      <c r="J504" s="40"/>
    </row>
    <row r="505" ht="15">
      <c r="J505" s="40"/>
    </row>
    <row r="506" ht="15">
      <c r="J506" s="40"/>
    </row>
    <row r="507" ht="15">
      <c r="J507" s="40"/>
    </row>
    <row r="508" ht="15">
      <c r="J508" s="40"/>
    </row>
    <row r="509" ht="15">
      <c r="J509" s="40"/>
    </row>
    <row r="510" ht="15">
      <c r="J510" s="40"/>
    </row>
    <row r="511" ht="15">
      <c r="J511" s="40"/>
    </row>
    <row r="512" ht="15">
      <c r="J512" s="40"/>
    </row>
    <row r="513" ht="15">
      <c r="J513" s="40"/>
    </row>
    <row r="514" ht="15">
      <c r="J514" s="40"/>
    </row>
    <row r="515" ht="15">
      <c r="J515" s="40"/>
    </row>
    <row r="516" ht="15">
      <c r="J516" s="40"/>
    </row>
    <row r="517" ht="15">
      <c r="J517" s="40"/>
    </row>
    <row r="518" ht="15">
      <c r="J518" s="40"/>
    </row>
    <row r="519" ht="15">
      <c r="J519" s="40"/>
    </row>
    <row r="520" ht="15">
      <c r="J520" s="40"/>
    </row>
    <row r="521" ht="15">
      <c r="J521" s="40"/>
    </row>
    <row r="522" ht="15">
      <c r="J522" s="40"/>
    </row>
    <row r="523" ht="15">
      <c r="J523" s="40"/>
    </row>
    <row r="524" ht="15">
      <c r="J524" s="40"/>
    </row>
    <row r="525" ht="15">
      <c r="J525" s="40"/>
    </row>
    <row r="526" ht="15">
      <c r="J526" s="40"/>
    </row>
    <row r="527" ht="15">
      <c r="J527" s="40"/>
    </row>
    <row r="528" ht="15">
      <c r="J528" s="40"/>
    </row>
    <row r="529" ht="15">
      <c r="J529" s="40"/>
    </row>
    <row r="530" ht="15">
      <c r="J530" s="40"/>
    </row>
    <row r="531" ht="15">
      <c r="J531" s="40"/>
    </row>
    <row r="532" ht="15">
      <c r="J532" s="40"/>
    </row>
    <row r="533" ht="15">
      <c r="J533" s="40"/>
    </row>
    <row r="534" ht="15">
      <c r="J534" s="40"/>
    </row>
    <row r="535" ht="15">
      <c r="J535" s="40"/>
    </row>
    <row r="536" ht="15">
      <c r="J536" s="40"/>
    </row>
    <row r="537" ht="15">
      <c r="J537" s="40"/>
    </row>
    <row r="538" ht="15">
      <c r="J538" s="40"/>
    </row>
    <row r="539" ht="15">
      <c r="J539" s="40"/>
    </row>
    <row r="540" ht="15">
      <c r="J540" s="40"/>
    </row>
    <row r="541" ht="15">
      <c r="J541" s="40"/>
    </row>
    <row r="542" ht="15">
      <c r="J542" s="40"/>
    </row>
    <row r="543" ht="15">
      <c r="J543" s="40"/>
    </row>
    <row r="544" ht="15">
      <c r="J544" s="40"/>
    </row>
    <row r="545" ht="15">
      <c r="J545" s="40"/>
    </row>
    <row r="546" ht="15">
      <c r="J546" s="40"/>
    </row>
    <row r="547" ht="15">
      <c r="J547" s="40"/>
    </row>
    <row r="548" ht="15">
      <c r="J548" s="40"/>
    </row>
    <row r="549" ht="15">
      <c r="J549" s="40"/>
    </row>
    <row r="550" ht="15">
      <c r="J550" s="40"/>
    </row>
    <row r="551" ht="15">
      <c r="J551" s="40"/>
    </row>
    <row r="552" ht="15">
      <c r="J552" s="40"/>
    </row>
    <row r="553" ht="15">
      <c r="J553" s="40"/>
    </row>
    <row r="554" ht="15">
      <c r="J554" s="40"/>
    </row>
    <row r="555" ht="15">
      <c r="J555" s="40"/>
    </row>
    <row r="556" ht="15">
      <c r="J556" s="40"/>
    </row>
    <row r="557" ht="15">
      <c r="J557" s="40"/>
    </row>
    <row r="558" ht="15">
      <c r="J558" s="40"/>
    </row>
    <row r="559" ht="15">
      <c r="J559" s="40"/>
    </row>
    <row r="560" ht="15">
      <c r="J560" s="40"/>
    </row>
    <row r="561" ht="15">
      <c r="J561" s="40"/>
    </row>
    <row r="562" ht="15">
      <c r="J562" s="40"/>
    </row>
    <row r="563" ht="15">
      <c r="J563" s="40"/>
    </row>
    <row r="564" ht="15">
      <c r="J564" s="40"/>
    </row>
    <row r="565" ht="15">
      <c r="J565" s="40"/>
    </row>
    <row r="566" ht="15">
      <c r="J566" s="40"/>
    </row>
    <row r="567" ht="15">
      <c r="J567" s="40"/>
    </row>
    <row r="568" ht="15">
      <c r="J568" s="40"/>
    </row>
    <row r="569" ht="15">
      <c r="J569" s="40"/>
    </row>
    <row r="570" ht="15">
      <c r="J570" s="40"/>
    </row>
    <row r="571" ht="15">
      <c r="J571" s="40"/>
    </row>
    <row r="572" ht="15">
      <c r="J572" s="40"/>
    </row>
    <row r="573" ht="15">
      <c r="J573" s="40"/>
    </row>
    <row r="574" ht="15">
      <c r="J574" s="40"/>
    </row>
    <row r="575" ht="15">
      <c r="J575" s="40"/>
    </row>
    <row r="576" ht="15">
      <c r="J576" s="40"/>
    </row>
    <row r="577" ht="15">
      <c r="J577" s="40"/>
    </row>
    <row r="578" ht="15">
      <c r="J578" s="40"/>
    </row>
    <row r="579" ht="15">
      <c r="J579" s="40"/>
    </row>
    <row r="580" ht="15">
      <c r="J580" s="40"/>
    </row>
    <row r="581" ht="15">
      <c r="J581" s="40"/>
    </row>
    <row r="582" ht="15">
      <c r="J582" s="40"/>
    </row>
    <row r="583" ht="15">
      <c r="J583" s="40"/>
    </row>
    <row r="584" ht="15">
      <c r="J584" s="40"/>
    </row>
    <row r="585" ht="15">
      <c r="J585" s="40"/>
    </row>
    <row r="586" ht="15">
      <c r="J586" s="40"/>
    </row>
    <row r="587" ht="15">
      <c r="J587" s="40"/>
    </row>
    <row r="588" ht="15">
      <c r="J588" s="40"/>
    </row>
    <row r="589" ht="15">
      <c r="J589" s="40"/>
    </row>
    <row r="590" ht="15">
      <c r="J590" s="40"/>
    </row>
    <row r="591" ht="15">
      <c r="J591" s="40"/>
    </row>
    <row r="592" ht="15">
      <c r="J592" s="40"/>
    </row>
    <row r="593" ht="15">
      <c r="J593" s="40"/>
    </row>
    <row r="594" ht="15">
      <c r="J594" s="40"/>
    </row>
    <row r="595" ht="15">
      <c r="J595" s="40"/>
    </row>
    <row r="596" ht="15">
      <c r="J596" s="40"/>
    </row>
    <row r="597" ht="15">
      <c r="J597" s="40"/>
    </row>
    <row r="598" ht="15">
      <c r="J598" s="40"/>
    </row>
    <row r="599" ht="15">
      <c r="J599" s="40"/>
    </row>
    <row r="600" ht="15">
      <c r="J600" s="40"/>
    </row>
    <row r="601" ht="15">
      <c r="J601" s="40"/>
    </row>
    <row r="602" ht="15">
      <c r="J602" s="40"/>
    </row>
    <row r="603" ht="15">
      <c r="J603" s="40"/>
    </row>
    <row r="604" ht="15">
      <c r="J604" s="40"/>
    </row>
    <row r="605" ht="15">
      <c r="J605" s="40"/>
    </row>
    <row r="606" ht="15">
      <c r="J606" s="40"/>
    </row>
    <row r="607" ht="15">
      <c r="J607" s="40"/>
    </row>
    <row r="608" ht="15">
      <c r="J608" s="40"/>
    </row>
    <row r="609" ht="15">
      <c r="J609" s="40"/>
    </row>
    <row r="610" ht="15">
      <c r="J610" s="40"/>
    </row>
    <row r="611" ht="15">
      <c r="J611" s="40"/>
    </row>
    <row r="612" ht="15">
      <c r="J612" s="40"/>
    </row>
    <row r="613" ht="15">
      <c r="J613" s="40"/>
    </row>
    <row r="614" ht="15">
      <c r="J614" s="40"/>
    </row>
    <row r="615" ht="15">
      <c r="J615" s="40"/>
    </row>
    <row r="616" ht="15">
      <c r="J616" s="40"/>
    </row>
    <row r="617" ht="15">
      <c r="J617" s="40"/>
    </row>
    <row r="618" ht="15">
      <c r="J618" s="40"/>
    </row>
    <row r="619" ht="15">
      <c r="J619" s="40"/>
    </row>
    <row r="620" ht="15">
      <c r="J620" s="40"/>
    </row>
    <row r="621" ht="15">
      <c r="J621" s="40"/>
    </row>
    <row r="622" ht="15">
      <c r="J622" s="40"/>
    </row>
    <row r="623" ht="15">
      <c r="J623" s="40"/>
    </row>
    <row r="624" ht="15">
      <c r="J624" s="40"/>
    </row>
    <row r="625" ht="15">
      <c r="J625" s="40"/>
    </row>
    <row r="626" ht="15">
      <c r="J626" s="40"/>
    </row>
    <row r="627" ht="15">
      <c r="J627" s="40"/>
    </row>
    <row r="628" ht="15">
      <c r="J628" s="40"/>
    </row>
    <row r="629" ht="15">
      <c r="J629" s="40"/>
    </row>
    <row r="630" ht="15">
      <c r="J630" s="40"/>
    </row>
    <row r="631" ht="15">
      <c r="J631" s="40"/>
    </row>
    <row r="632" ht="15">
      <c r="J632" s="40"/>
    </row>
    <row r="633" ht="15">
      <c r="J633" s="40"/>
    </row>
    <row r="634" ht="15">
      <c r="J634" s="40"/>
    </row>
    <row r="635" ht="15">
      <c r="J635" s="40"/>
    </row>
    <row r="636" ht="15">
      <c r="J636" s="40"/>
    </row>
    <row r="637" ht="15">
      <c r="J637" s="40"/>
    </row>
    <row r="638" ht="15">
      <c r="J638" s="40"/>
    </row>
    <row r="639" ht="15">
      <c r="J639" s="40"/>
    </row>
    <row r="640" ht="15">
      <c r="J640" s="40"/>
    </row>
    <row r="641" ht="15">
      <c r="J641" s="40"/>
    </row>
    <row r="642" ht="15">
      <c r="J642" s="40"/>
    </row>
    <row r="643" ht="15">
      <c r="J643" s="40"/>
    </row>
    <row r="644" ht="15">
      <c r="J644" s="40"/>
    </row>
    <row r="645" ht="15">
      <c r="J645" s="40"/>
    </row>
    <row r="646" ht="15">
      <c r="J646" s="40"/>
    </row>
    <row r="647" ht="15">
      <c r="J647" s="40"/>
    </row>
    <row r="648" ht="15">
      <c r="J648" s="40"/>
    </row>
    <row r="649" ht="15">
      <c r="J649" s="40"/>
    </row>
    <row r="650" ht="15">
      <c r="J650" s="40"/>
    </row>
    <row r="651" ht="15">
      <c r="J651" s="40"/>
    </row>
    <row r="652" ht="15">
      <c r="J652" s="40"/>
    </row>
    <row r="653" ht="15">
      <c r="J653" s="40"/>
    </row>
    <row r="654" ht="15">
      <c r="J654" s="40"/>
    </row>
    <row r="655" ht="15">
      <c r="J655" s="40"/>
    </row>
    <row r="656" ht="15">
      <c r="J656" s="40"/>
    </row>
    <row r="657" ht="15">
      <c r="J657" s="40"/>
    </row>
    <row r="658" ht="15">
      <c r="J658" s="40"/>
    </row>
    <row r="659" ht="15">
      <c r="J659" s="40"/>
    </row>
    <row r="660" ht="15">
      <c r="J660" s="40"/>
    </row>
    <row r="661" ht="15">
      <c r="J661" s="40"/>
    </row>
    <row r="662" ht="15">
      <c r="J662" s="40"/>
    </row>
    <row r="663" ht="15">
      <c r="J663" s="40"/>
    </row>
    <row r="664" ht="15">
      <c r="J664" s="40"/>
    </row>
    <row r="665" ht="15">
      <c r="J665" s="40"/>
    </row>
    <row r="666" ht="15">
      <c r="J666" s="40"/>
    </row>
    <row r="667" ht="15">
      <c r="J667" s="40"/>
    </row>
    <row r="668" ht="15">
      <c r="J668" s="40"/>
    </row>
    <row r="669" ht="15">
      <c r="J669" s="40"/>
    </row>
    <row r="670" ht="15">
      <c r="J670" s="40"/>
    </row>
    <row r="671" ht="15">
      <c r="J671" s="40"/>
    </row>
    <row r="672" ht="15">
      <c r="J672" s="40"/>
    </row>
    <row r="673" ht="15">
      <c r="J673" s="40"/>
    </row>
    <row r="674" ht="15">
      <c r="J674" s="40"/>
    </row>
    <row r="675" ht="15">
      <c r="J675" s="40"/>
    </row>
    <row r="676" ht="15">
      <c r="J676" s="40"/>
    </row>
    <row r="677" ht="15">
      <c r="J677" s="40"/>
    </row>
    <row r="678" ht="15">
      <c r="J678" s="40"/>
    </row>
    <row r="679" ht="15">
      <c r="J679" s="40"/>
    </row>
    <row r="680" ht="15">
      <c r="J680" s="40"/>
    </row>
    <row r="681" ht="15">
      <c r="J681" s="40"/>
    </row>
    <row r="682" ht="15">
      <c r="J682" s="40"/>
    </row>
    <row r="683" ht="15">
      <c r="J683" s="40"/>
    </row>
    <row r="684" ht="15">
      <c r="J684" s="40"/>
    </row>
    <row r="685" ht="15">
      <c r="J685" s="40"/>
    </row>
    <row r="686" ht="15">
      <c r="J686" s="40"/>
    </row>
    <row r="687" ht="15">
      <c r="J687" s="40"/>
    </row>
    <row r="688" ht="15">
      <c r="J688" s="40"/>
    </row>
    <row r="689" ht="15">
      <c r="J689" s="40"/>
    </row>
    <row r="690" ht="15">
      <c r="J690" s="40"/>
    </row>
    <row r="691" ht="15">
      <c r="J691" s="40"/>
    </row>
    <row r="692" ht="15">
      <c r="J692" s="40"/>
    </row>
    <row r="693" ht="15">
      <c r="J693" s="40"/>
    </row>
    <row r="694" ht="15">
      <c r="J694" s="40"/>
    </row>
    <row r="695" ht="15">
      <c r="J695" s="40"/>
    </row>
    <row r="696" ht="15">
      <c r="J696" s="40"/>
    </row>
    <row r="697" ht="15">
      <c r="J697" s="40"/>
    </row>
    <row r="698" ht="15">
      <c r="J698" s="40"/>
    </row>
    <row r="699" ht="15">
      <c r="J699" s="40"/>
    </row>
    <row r="700" ht="15">
      <c r="J700" s="40"/>
    </row>
    <row r="701" ht="15">
      <c r="J701" s="40"/>
    </row>
    <row r="702" ht="15">
      <c r="J702" s="40"/>
    </row>
    <row r="703" ht="15">
      <c r="J703" s="40"/>
    </row>
    <row r="704" ht="15">
      <c r="J704" s="40"/>
    </row>
    <row r="705" ht="15">
      <c r="J705" s="40"/>
    </row>
    <row r="706" ht="15">
      <c r="J706" s="40"/>
    </row>
    <row r="707" ht="15">
      <c r="J707" s="40"/>
    </row>
    <row r="708" ht="15">
      <c r="J708" s="40"/>
    </row>
    <row r="709" ht="15">
      <c r="J709" s="40"/>
    </row>
    <row r="710" ht="15">
      <c r="J710" s="40"/>
    </row>
    <row r="711" ht="15">
      <c r="J711" s="40"/>
    </row>
    <row r="712" ht="15">
      <c r="J712" s="40"/>
    </row>
    <row r="713" ht="15">
      <c r="J713" s="40"/>
    </row>
    <row r="714" ht="15">
      <c r="J714" s="40"/>
    </row>
    <row r="715" ht="15">
      <c r="J715" s="40"/>
    </row>
    <row r="716" ht="15">
      <c r="J716" s="40"/>
    </row>
    <row r="717" ht="15">
      <c r="J717" s="40"/>
    </row>
    <row r="718" ht="15">
      <c r="J718" s="40"/>
    </row>
    <row r="719" ht="15">
      <c r="J719" s="40"/>
    </row>
    <row r="720" ht="15">
      <c r="J720" s="40"/>
    </row>
    <row r="721" ht="15">
      <c r="J721" s="40"/>
    </row>
    <row r="722" ht="15">
      <c r="J722" s="40"/>
    </row>
    <row r="723" ht="15">
      <c r="J723" s="40"/>
    </row>
    <row r="724" ht="15">
      <c r="J724" s="40"/>
    </row>
    <row r="725" ht="15">
      <c r="J725" s="40"/>
    </row>
    <row r="726" ht="15">
      <c r="J726" s="40"/>
    </row>
    <row r="727" ht="15">
      <c r="J727" s="40"/>
    </row>
    <row r="728" ht="15">
      <c r="J728" s="40"/>
    </row>
    <row r="729" ht="15">
      <c r="J729" s="40"/>
    </row>
    <row r="730" ht="15">
      <c r="J730" s="40"/>
    </row>
    <row r="731" ht="15">
      <c r="J731" s="40"/>
    </row>
    <row r="732" ht="15">
      <c r="J732" s="40"/>
    </row>
    <row r="733" ht="15">
      <c r="J733" s="40"/>
    </row>
    <row r="734" ht="15">
      <c r="J734" s="40"/>
    </row>
    <row r="735" ht="15">
      <c r="J735" s="40"/>
    </row>
    <row r="736" ht="15">
      <c r="J736" s="40"/>
    </row>
    <row r="737" ht="15">
      <c r="J737" s="40"/>
    </row>
    <row r="738" ht="15">
      <c r="J738" s="40"/>
    </row>
    <row r="739" ht="15">
      <c r="J739" s="40"/>
    </row>
    <row r="740" ht="15">
      <c r="J740" s="40"/>
    </row>
    <row r="741" ht="15">
      <c r="J741" s="40"/>
    </row>
    <row r="742" ht="15">
      <c r="J742" s="40"/>
    </row>
    <row r="743" ht="15">
      <c r="J743" s="40"/>
    </row>
    <row r="744" ht="15">
      <c r="J744" s="40"/>
    </row>
    <row r="745" ht="15">
      <c r="J745" s="40"/>
    </row>
    <row r="746" ht="15">
      <c r="J746" s="40"/>
    </row>
    <row r="747" ht="15">
      <c r="J747" s="40"/>
    </row>
    <row r="748" ht="15">
      <c r="J748" s="40"/>
    </row>
    <row r="749" ht="15">
      <c r="J749" s="40"/>
    </row>
    <row r="750" ht="15">
      <c r="J750" s="40"/>
    </row>
    <row r="751" ht="15">
      <c r="J751" s="40"/>
    </row>
    <row r="752" ht="15">
      <c r="J752" s="40"/>
    </row>
    <row r="753" ht="15">
      <c r="J753" s="40"/>
    </row>
    <row r="754" ht="15">
      <c r="J754" s="40"/>
    </row>
    <row r="755" ht="15">
      <c r="J755" s="40"/>
    </row>
    <row r="756" ht="15">
      <c r="J756" s="40"/>
    </row>
    <row r="757" ht="15">
      <c r="J757" s="40"/>
    </row>
    <row r="758" ht="15">
      <c r="J758" s="40"/>
    </row>
    <row r="759" ht="15">
      <c r="J759" s="40"/>
    </row>
    <row r="760" ht="15">
      <c r="J760" s="40"/>
    </row>
    <row r="761" ht="15">
      <c r="J761" s="40"/>
    </row>
    <row r="762" ht="15">
      <c r="J762" s="40"/>
    </row>
    <row r="763" ht="15">
      <c r="J763" s="40"/>
    </row>
    <row r="764" ht="15">
      <c r="J764" s="40"/>
    </row>
    <row r="765" ht="15">
      <c r="J765" s="40"/>
    </row>
    <row r="766" ht="15">
      <c r="J766" s="40"/>
    </row>
    <row r="767" ht="15">
      <c r="J767" s="40"/>
    </row>
    <row r="768" ht="15">
      <c r="J768" s="40"/>
    </row>
    <row r="769" ht="15">
      <c r="J769" s="40"/>
    </row>
    <row r="770" ht="15">
      <c r="J770" s="40"/>
    </row>
    <row r="771" ht="15">
      <c r="J771" s="40"/>
    </row>
    <row r="772" ht="15">
      <c r="J772" s="40"/>
    </row>
    <row r="773" ht="15">
      <c r="J773" s="40"/>
    </row>
    <row r="774" ht="15">
      <c r="J774" s="40"/>
    </row>
    <row r="775" ht="15">
      <c r="J775" s="40"/>
    </row>
    <row r="776" ht="15">
      <c r="J776" s="40"/>
    </row>
    <row r="777" ht="15">
      <c r="J777" s="40"/>
    </row>
    <row r="778" ht="15">
      <c r="J778" s="40"/>
    </row>
    <row r="779" ht="15">
      <c r="J779" s="40"/>
    </row>
    <row r="780" ht="15">
      <c r="J780" s="40"/>
    </row>
    <row r="781" ht="15">
      <c r="J781" s="40"/>
    </row>
    <row r="782" ht="15">
      <c r="J782" s="40"/>
    </row>
    <row r="783" ht="15">
      <c r="J783" s="40"/>
    </row>
    <row r="784" ht="15">
      <c r="J784" s="40"/>
    </row>
    <row r="785" ht="15">
      <c r="J785" s="40"/>
    </row>
    <row r="786" ht="15">
      <c r="J786" s="40"/>
    </row>
    <row r="787" ht="15">
      <c r="J787" s="40"/>
    </row>
    <row r="788" ht="15">
      <c r="J788" s="40"/>
    </row>
    <row r="789" ht="15">
      <c r="J789" s="40"/>
    </row>
    <row r="790" ht="15">
      <c r="J790" s="40"/>
    </row>
    <row r="791" ht="15">
      <c r="J791" s="40"/>
    </row>
    <row r="792" ht="15">
      <c r="J792" s="40"/>
    </row>
    <row r="793" ht="15">
      <c r="J793" s="40"/>
    </row>
    <row r="794" ht="15">
      <c r="J794" s="40"/>
    </row>
    <row r="795" ht="15">
      <c r="J795" s="40"/>
    </row>
    <row r="796" ht="15">
      <c r="J796" s="40"/>
    </row>
    <row r="797" ht="15">
      <c r="J797" s="40"/>
    </row>
    <row r="798" ht="15">
      <c r="J798" s="40"/>
    </row>
    <row r="799" ht="15">
      <c r="J799" s="40"/>
    </row>
    <row r="800" ht="15">
      <c r="J800" s="40"/>
    </row>
    <row r="801" ht="15">
      <c r="J801" s="40"/>
    </row>
    <row r="802" ht="15">
      <c r="J802" s="40"/>
    </row>
    <row r="803" ht="15">
      <c r="J803" s="40"/>
    </row>
    <row r="804" ht="15">
      <c r="J804" s="40"/>
    </row>
    <row r="805" ht="15">
      <c r="J805" s="40"/>
    </row>
    <row r="806" ht="15">
      <c r="J806" s="40"/>
    </row>
    <row r="807" ht="15">
      <c r="J807" s="40"/>
    </row>
    <row r="808" ht="15">
      <c r="J808" s="40"/>
    </row>
    <row r="809" ht="15">
      <c r="J809" s="40"/>
    </row>
    <row r="810" ht="15">
      <c r="J810" s="40"/>
    </row>
    <row r="811" ht="15">
      <c r="J811" s="40"/>
    </row>
    <row r="812" ht="15">
      <c r="J812" s="40"/>
    </row>
    <row r="813" ht="15">
      <c r="J813" s="40"/>
    </row>
    <row r="814" ht="15">
      <c r="J814" s="40"/>
    </row>
    <row r="815" ht="15">
      <c r="J815" s="40"/>
    </row>
    <row r="816" ht="15">
      <c r="J816" s="40"/>
    </row>
    <row r="817" ht="15">
      <c r="J817" s="40"/>
    </row>
    <row r="818" ht="15">
      <c r="J818" s="40"/>
    </row>
    <row r="819" ht="15">
      <c r="J819" s="40"/>
    </row>
    <row r="820" ht="15">
      <c r="J820" s="40"/>
    </row>
    <row r="821" ht="15">
      <c r="J821" s="40"/>
    </row>
    <row r="822" ht="15">
      <c r="J822" s="40"/>
    </row>
    <row r="823" ht="15">
      <c r="J823" s="40"/>
    </row>
    <row r="824" ht="15">
      <c r="J824" s="40"/>
    </row>
    <row r="825" ht="15">
      <c r="J825" s="40"/>
    </row>
    <row r="826" ht="15">
      <c r="J826" s="40"/>
    </row>
    <row r="827" ht="15">
      <c r="J827" s="40"/>
    </row>
    <row r="828" ht="15">
      <c r="J828" s="40"/>
    </row>
    <row r="829" ht="15">
      <c r="J829" s="40"/>
    </row>
    <row r="830" ht="15">
      <c r="J830" s="40"/>
    </row>
    <row r="831" ht="15">
      <c r="J831" s="40"/>
    </row>
    <row r="832" ht="15">
      <c r="J832" s="40"/>
    </row>
    <row r="833" ht="15">
      <c r="J833" s="40"/>
    </row>
    <row r="834" ht="15">
      <c r="J834" s="40"/>
    </row>
    <row r="835" ht="15">
      <c r="J835" s="40"/>
    </row>
    <row r="836" ht="15">
      <c r="J836" s="40"/>
    </row>
    <row r="837" ht="15">
      <c r="J837" s="40"/>
    </row>
    <row r="838" ht="15">
      <c r="J838" s="40"/>
    </row>
    <row r="839" ht="15">
      <c r="J839" s="40"/>
    </row>
    <row r="840" ht="15">
      <c r="J840" s="40"/>
    </row>
    <row r="841" ht="15">
      <c r="J841" s="40"/>
    </row>
    <row r="842" ht="15">
      <c r="J842" s="40"/>
    </row>
    <row r="843" ht="15">
      <c r="J843" s="40"/>
    </row>
    <row r="844" ht="15">
      <c r="J844" s="40"/>
    </row>
    <row r="845" ht="15">
      <c r="J845" s="40"/>
    </row>
    <row r="846" ht="15">
      <c r="J846" s="40"/>
    </row>
    <row r="847" ht="15">
      <c r="J847" s="40"/>
    </row>
    <row r="848" ht="15">
      <c r="J848" s="40"/>
    </row>
    <row r="849" ht="15">
      <c r="J849" s="40"/>
    </row>
    <row r="850" ht="15">
      <c r="J850" s="40"/>
    </row>
    <row r="851" ht="15">
      <c r="J851" s="40"/>
    </row>
    <row r="852" ht="15">
      <c r="J852" s="40"/>
    </row>
    <row r="853" ht="15">
      <c r="J853" s="40"/>
    </row>
    <row r="854" ht="15">
      <c r="J854" s="40"/>
    </row>
    <row r="855" ht="15">
      <c r="J855" s="40"/>
    </row>
    <row r="856" ht="15">
      <c r="J856" s="40"/>
    </row>
    <row r="857" ht="15">
      <c r="J857" s="40"/>
    </row>
    <row r="858" ht="15">
      <c r="J858" s="40"/>
    </row>
    <row r="859" ht="15">
      <c r="J859" s="40"/>
    </row>
    <row r="860" ht="15">
      <c r="J860" s="40"/>
    </row>
    <row r="861" ht="15">
      <c r="J861" s="40"/>
    </row>
    <row r="862" ht="15">
      <c r="J862" s="40"/>
    </row>
    <row r="863" ht="15">
      <c r="J863" s="40"/>
    </row>
    <row r="864" ht="15">
      <c r="J864" s="40"/>
    </row>
    <row r="865" ht="15">
      <c r="J865" s="40"/>
    </row>
    <row r="866" ht="15">
      <c r="J866" s="40"/>
    </row>
    <row r="867" ht="15">
      <c r="J867" s="40"/>
    </row>
    <row r="868" ht="15">
      <c r="J868" s="40"/>
    </row>
    <row r="869" ht="15">
      <c r="J869" s="40"/>
    </row>
    <row r="870" ht="15">
      <c r="J870" s="40"/>
    </row>
    <row r="871" ht="15">
      <c r="J871" s="40"/>
    </row>
    <row r="872" ht="15">
      <c r="J872" s="40"/>
    </row>
    <row r="873" ht="15">
      <c r="J873" s="40"/>
    </row>
    <row r="874" ht="15">
      <c r="J874" s="40"/>
    </row>
    <row r="875" ht="15">
      <c r="J875" s="40"/>
    </row>
    <row r="876" ht="15">
      <c r="J876" s="40"/>
    </row>
    <row r="877" ht="15">
      <c r="J877" s="40"/>
    </row>
    <row r="878" ht="15">
      <c r="J878" s="40"/>
    </row>
    <row r="879" ht="15">
      <c r="J879" s="40"/>
    </row>
    <row r="880" ht="15">
      <c r="J880" s="40"/>
    </row>
    <row r="881" ht="15">
      <c r="J881" s="40"/>
    </row>
    <row r="882" ht="15">
      <c r="J882" s="40"/>
    </row>
    <row r="883" ht="15">
      <c r="J883" s="40"/>
    </row>
    <row r="884" ht="15">
      <c r="J884" s="40"/>
    </row>
    <row r="885" ht="15">
      <c r="J885" s="40"/>
    </row>
    <row r="886" ht="15">
      <c r="J886" s="40"/>
    </row>
    <row r="887" ht="15">
      <c r="J887" s="40"/>
    </row>
    <row r="888" ht="15">
      <c r="J888" s="40"/>
    </row>
    <row r="889" ht="15">
      <c r="J889" s="40"/>
    </row>
    <row r="890" ht="15">
      <c r="J890" s="40"/>
    </row>
    <row r="891" ht="15">
      <c r="J891" s="40"/>
    </row>
    <row r="892" ht="15">
      <c r="J892" s="40"/>
    </row>
    <row r="893" ht="15">
      <c r="J893" s="40"/>
    </row>
    <row r="894" ht="15">
      <c r="J894" s="40"/>
    </row>
    <row r="895" ht="15">
      <c r="J895" s="40"/>
    </row>
    <row r="896" ht="15">
      <c r="J896" s="40"/>
    </row>
    <row r="897" ht="15">
      <c r="J897" s="40"/>
    </row>
    <row r="898" ht="15">
      <c r="J898" s="40"/>
    </row>
    <row r="899" ht="15">
      <c r="J899" s="40"/>
    </row>
    <row r="900" ht="15">
      <c r="J900" s="40"/>
    </row>
    <row r="901" ht="15">
      <c r="J901" s="40"/>
    </row>
    <row r="902" ht="15">
      <c r="J902" s="40"/>
    </row>
    <row r="903" ht="15">
      <c r="J903" s="40"/>
    </row>
    <row r="904" ht="15">
      <c r="J904" s="40"/>
    </row>
    <row r="905" ht="15">
      <c r="J905" s="40"/>
    </row>
    <row r="906" ht="15">
      <c r="J906" s="40"/>
    </row>
    <row r="907" ht="15">
      <c r="J907" s="40"/>
    </row>
    <row r="908" ht="15">
      <c r="J908" s="40"/>
    </row>
    <row r="909" ht="15">
      <c r="J909" s="40"/>
    </row>
    <row r="910" ht="15">
      <c r="J910" s="40"/>
    </row>
    <row r="911" ht="15">
      <c r="J911" s="40"/>
    </row>
    <row r="912" ht="15">
      <c r="J912" s="40"/>
    </row>
    <row r="913" ht="15">
      <c r="J913" s="40"/>
    </row>
    <row r="914" ht="15">
      <c r="J914" s="40"/>
    </row>
    <row r="915" ht="15">
      <c r="J915" s="40"/>
    </row>
    <row r="916" ht="15">
      <c r="J916" s="40"/>
    </row>
    <row r="917" ht="15">
      <c r="J917" s="40"/>
    </row>
    <row r="918" ht="15">
      <c r="J918" s="40"/>
    </row>
    <row r="919" ht="15">
      <c r="J919" s="40"/>
    </row>
    <row r="920" ht="15">
      <c r="J920" s="40"/>
    </row>
    <row r="921" ht="15">
      <c r="J921" s="40"/>
    </row>
    <row r="922" ht="15">
      <c r="J922" s="40"/>
    </row>
    <row r="923" ht="15">
      <c r="J923" s="40"/>
    </row>
    <row r="924" ht="15">
      <c r="J924" s="40"/>
    </row>
    <row r="925" ht="15">
      <c r="J925" s="40"/>
    </row>
    <row r="926" ht="15">
      <c r="J926" s="40"/>
    </row>
    <row r="927" ht="15">
      <c r="J927" s="40"/>
    </row>
    <row r="928" ht="15">
      <c r="J928" s="40"/>
    </row>
    <row r="929" ht="15">
      <c r="J929" s="40"/>
    </row>
    <row r="930" ht="15">
      <c r="J930" s="40"/>
    </row>
    <row r="931" ht="15">
      <c r="J931" s="40"/>
    </row>
    <row r="932" ht="15">
      <c r="J932" s="40"/>
    </row>
    <row r="933" ht="15">
      <c r="J933" s="40"/>
    </row>
    <row r="934" ht="15">
      <c r="J934" s="40"/>
    </row>
    <row r="935" ht="15">
      <c r="J935" s="40"/>
    </row>
    <row r="936" ht="15">
      <c r="J936" s="40"/>
    </row>
    <row r="937" ht="15">
      <c r="J937" s="40"/>
    </row>
    <row r="938" ht="15">
      <c r="J938" s="40"/>
    </row>
    <row r="939" ht="15">
      <c r="J939" s="40"/>
    </row>
    <row r="940" ht="15">
      <c r="J940" s="40"/>
    </row>
    <row r="941" ht="15">
      <c r="J941" s="40"/>
    </row>
    <row r="942" ht="15">
      <c r="J942" s="40"/>
    </row>
    <row r="943" ht="15">
      <c r="J943" s="40"/>
    </row>
    <row r="944" ht="15">
      <c r="J944" s="40"/>
    </row>
    <row r="945" ht="15">
      <c r="J945" s="40"/>
    </row>
    <row r="946" ht="15">
      <c r="J946" s="40"/>
    </row>
    <row r="947" ht="15">
      <c r="J947" s="40"/>
    </row>
    <row r="948" ht="15">
      <c r="J948" s="40"/>
    </row>
    <row r="949" ht="15">
      <c r="J949" s="40"/>
    </row>
    <row r="950" ht="15">
      <c r="J950" s="40"/>
    </row>
    <row r="951" ht="15">
      <c r="J951" s="40"/>
    </row>
    <row r="952" ht="15">
      <c r="J952" s="40"/>
    </row>
    <row r="953" ht="15">
      <c r="J953" s="40"/>
    </row>
    <row r="954" ht="15">
      <c r="J954" s="40"/>
    </row>
    <row r="955" ht="15">
      <c r="J955" s="40"/>
    </row>
    <row r="956" ht="15">
      <c r="J956" s="40"/>
    </row>
    <row r="957" ht="15">
      <c r="J957" s="40"/>
    </row>
    <row r="958" ht="15">
      <c r="J958" s="40"/>
    </row>
    <row r="959" ht="15">
      <c r="J959" s="40"/>
    </row>
    <row r="960" ht="15">
      <c r="J960" s="40"/>
    </row>
    <row r="961" ht="15">
      <c r="J961" s="40"/>
    </row>
    <row r="962" ht="15">
      <c r="J962" s="40"/>
    </row>
    <row r="963" ht="15">
      <c r="J963" s="40"/>
    </row>
    <row r="964" ht="15">
      <c r="J964" s="40"/>
    </row>
    <row r="965" ht="15">
      <c r="J965" s="40"/>
    </row>
    <row r="966" ht="15">
      <c r="J966" s="40"/>
    </row>
    <row r="967" ht="15">
      <c r="J967" s="40"/>
    </row>
    <row r="968" ht="15">
      <c r="J968" s="40"/>
    </row>
    <row r="969" ht="15">
      <c r="J969" s="40"/>
    </row>
    <row r="970" ht="15">
      <c r="J970" s="40"/>
    </row>
    <row r="971" ht="15">
      <c r="J971" s="40"/>
    </row>
    <row r="972" ht="15">
      <c r="J972" s="40"/>
    </row>
    <row r="973" ht="15">
      <c r="J973" s="40"/>
    </row>
    <row r="974" ht="15">
      <c r="J974" s="40"/>
    </row>
    <row r="975" ht="15">
      <c r="J975" s="40"/>
    </row>
    <row r="976" ht="15">
      <c r="J976" s="40"/>
    </row>
    <row r="977" ht="15">
      <c r="J977" s="40"/>
    </row>
    <row r="978" ht="15">
      <c r="J978" s="40"/>
    </row>
    <row r="979" ht="15">
      <c r="J979" s="40"/>
    </row>
    <row r="980" ht="15">
      <c r="J980" s="40"/>
    </row>
    <row r="981" ht="15">
      <c r="J981" s="40"/>
    </row>
    <row r="982" ht="15">
      <c r="J982" s="40"/>
    </row>
    <row r="983" ht="15">
      <c r="J983" s="40"/>
    </row>
    <row r="984" ht="15">
      <c r="J984" s="40"/>
    </row>
    <row r="985" ht="15">
      <c r="J985" s="40"/>
    </row>
    <row r="986" ht="15">
      <c r="J986" s="40"/>
    </row>
    <row r="987" ht="15">
      <c r="J987" s="40"/>
    </row>
    <row r="988" ht="15">
      <c r="J988" s="40"/>
    </row>
    <row r="989" ht="15">
      <c r="J989" s="40"/>
    </row>
    <row r="990" ht="15">
      <c r="J990" s="40"/>
    </row>
    <row r="991" ht="15">
      <c r="J991" s="40"/>
    </row>
    <row r="992" ht="15">
      <c r="J992" s="40"/>
    </row>
    <row r="993" ht="15">
      <c r="J993" s="40"/>
    </row>
    <row r="994" ht="15">
      <c r="J994" s="40"/>
    </row>
    <row r="995" ht="15">
      <c r="J995" s="40"/>
    </row>
    <row r="996" ht="15">
      <c r="J996" s="40"/>
    </row>
    <row r="997" ht="15">
      <c r="J997" s="40"/>
    </row>
    <row r="998" ht="15">
      <c r="J998" s="40"/>
    </row>
    <row r="999" ht="15">
      <c r="J999" s="40"/>
    </row>
    <row r="1000" ht="15">
      <c r="J1000" s="40"/>
    </row>
    <row r="1001" ht="15">
      <c r="J1001" s="40"/>
    </row>
    <row r="1002" ht="15">
      <c r="J1002" s="40"/>
    </row>
    <row r="1003" ht="15">
      <c r="J1003" s="40"/>
    </row>
    <row r="1004" ht="15">
      <c r="J1004" s="40"/>
    </row>
    <row r="1005" ht="15">
      <c r="J1005" s="40"/>
    </row>
    <row r="1006" ht="15">
      <c r="J1006" s="40"/>
    </row>
    <row r="1007" ht="15">
      <c r="J1007" s="40"/>
    </row>
    <row r="1008" ht="15">
      <c r="J1008" s="40"/>
    </row>
    <row r="1009" ht="15">
      <c r="J1009" s="40"/>
    </row>
    <row r="1010" ht="15">
      <c r="J1010" s="40"/>
    </row>
    <row r="1011" ht="15">
      <c r="J1011" s="40"/>
    </row>
    <row r="1012" ht="15">
      <c r="J1012" s="40"/>
    </row>
    <row r="1013" ht="15">
      <c r="J1013" s="40"/>
    </row>
    <row r="1014" ht="15">
      <c r="J1014" s="40"/>
    </row>
    <row r="1015" ht="15">
      <c r="J1015" s="40"/>
    </row>
    <row r="1016" ht="15">
      <c r="J1016" s="40"/>
    </row>
    <row r="1017" ht="15">
      <c r="J1017" s="40"/>
    </row>
    <row r="1018" ht="15">
      <c r="J1018" s="40"/>
    </row>
    <row r="1019" ht="15">
      <c r="J1019" s="40"/>
    </row>
    <row r="1020" ht="15">
      <c r="J1020" s="40"/>
    </row>
    <row r="1021" ht="15">
      <c r="J1021" s="40"/>
    </row>
    <row r="1022" ht="15">
      <c r="J1022" s="40"/>
    </row>
    <row r="1023" ht="15">
      <c r="J1023" s="40"/>
    </row>
    <row r="1024" ht="15">
      <c r="J1024" s="40"/>
    </row>
    <row r="1025" ht="15">
      <c r="J1025" s="40"/>
    </row>
    <row r="1026" ht="15">
      <c r="J1026" s="40"/>
    </row>
    <row r="1027" ht="15">
      <c r="J1027" s="40"/>
    </row>
    <row r="1028" ht="15">
      <c r="J1028" s="40"/>
    </row>
    <row r="1029" ht="15">
      <c r="J1029" s="40"/>
    </row>
    <row r="1030" ht="15">
      <c r="J1030" s="40"/>
    </row>
    <row r="1031" ht="15">
      <c r="J1031" s="40"/>
    </row>
    <row r="1032" ht="15">
      <c r="J1032" s="40"/>
    </row>
    <row r="1033" ht="15">
      <c r="J1033" s="40"/>
    </row>
    <row r="1034" ht="15">
      <c r="J1034" s="40"/>
    </row>
    <row r="1035" ht="15">
      <c r="J1035" s="40"/>
    </row>
    <row r="1036" ht="15">
      <c r="J1036" s="40"/>
    </row>
    <row r="1037" ht="15">
      <c r="J1037" s="40"/>
    </row>
    <row r="1038" ht="15">
      <c r="J1038" s="40"/>
    </row>
    <row r="1039" ht="15">
      <c r="J1039" s="40"/>
    </row>
    <row r="1040" ht="15">
      <c r="J1040" s="40"/>
    </row>
    <row r="1041" ht="15">
      <c r="J1041" s="40"/>
    </row>
    <row r="1042" ht="15">
      <c r="J1042" s="40"/>
    </row>
    <row r="1043" ht="15">
      <c r="J1043" s="40"/>
    </row>
    <row r="1044" ht="15">
      <c r="J1044" s="40"/>
    </row>
    <row r="1045" ht="15">
      <c r="J1045" s="40"/>
    </row>
    <row r="1046" ht="15">
      <c r="J1046" s="40"/>
    </row>
    <row r="1047" ht="15">
      <c r="J1047" s="40"/>
    </row>
    <row r="1048" ht="15">
      <c r="J1048" s="40"/>
    </row>
    <row r="1049" ht="15">
      <c r="J1049" s="40"/>
    </row>
    <row r="1050" ht="15">
      <c r="J1050" s="40"/>
    </row>
    <row r="1051" ht="15">
      <c r="J1051" s="40"/>
    </row>
    <row r="1052" ht="15">
      <c r="J1052" s="40"/>
    </row>
    <row r="1053" ht="15">
      <c r="J1053" s="40"/>
    </row>
    <row r="1054" ht="15">
      <c r="J1054" s="40"/>
    </row>
    <row r="1055" ht="15">
      <c r="J1055" s="40"/>
    </row>
    <row r="1056" ht="15">
      <c r="J1056" s="40"/>
    </row>
    <row r="1057" ht="15">
      <c r="J1057" s="40"/>
    </row>
    <row r="1058" ht="15">
      <c r="J1058" s="40"/>
    </row>
    <row r="1059" ht="15">
      <c r="J1059" s="40"/>
    </row>
    <row r="1060" ht="15">
      <c r="J1060" s="40"/>
    </row>
    <row r="1061" ht="15">
      <c r="J1061" s="40"/>
    </row>
    <row r="1062" ht="15">
      <c r="J1062" s="40"/>
    </row>
    <row r="1063" ht="15">
      <c r="J1063" s="40"/>
    </row>
    <row r="1064" ht="15">
      <c r="J1064" s="40"/>
    </row>
    <row r="1065" ht="15">
      <c r="J1065" s="40"/>
    </row>
    <row r="1066" ht="15">
      <c r="J1066" s="40"/>
    </row>
    <row r="1067" ht="15">
      <c r="J1067" s="40"/>
    </row>
    <row r="1068" ht="15">
      <c r="J1068" s="40"/>
    </row>
    <row r="1069" ht="15">
      <c r="J1069" s="40"/>
    </row>
    <row r="1070" ht="15">
      <c r="J1070" s="40"/>
    </row>
    <row r="1071" ht="15">
      <c r="J1071" s="40"/>
    </row>
    <row r="1072" ht="15">
      <c r="J1072" s="40"/>
    </row>
    <row r="1073" ht="15">
      <c r="J1073" s="40"/>
    </row>
    <row r="1074" ht="15">
      <c r="J1074" s="40"/>
    </row>
    <row r="1075" ht="15">
      <c r="J1075" s="40"/>
    </row>
    <row r="1076" ht="15">
      <c r="J1076" s="40"/>
    </row>
    <row r="1077" ht="15">
      <c r="J1077" s="40"/>
    </row>
    <row r="1078" ht="15">
      <c r="J1078" s="40"/>
    </row>
    <row r="1079" ht="15">
      <c r="J1079" s="40"/>
    </row>
    <row r="1080" ht="15">
      <c r="J1080" s="40"/>
    </row>
    <row r="1081" ht="15">
      <c r="J1081" s="40"/>
    </row>
    <row r="1082" ht="15">
      <c r="J1082" s="40"/>
    </row>
    <row r="1083" ht="15">
      <c r="J1083" s="40"/>
    </row>
    <row r="1084" ht="15">
      <c r="J1084" s="40"/>
    </row>
    <row r="1085" ht="15">
      <c r="J1085" s="40"/>
    </row>
    <row r="1086" ht="15">
      <c r="J1086" s="40"/>
    </row>
    <row r="1087" ht="15">
      <c r="J1087" s="40"/>
    </row>
    <row r="1088" ht="15">
      <c r="J1088" s="40"/>
    </row>
    <row r="1089" ht="15">
      <c r="J1089" s="40"/>
    </row>
    <row r="1090" ht="15">
      <c r="J1090" s="40"/>
    </row>
    <row r="1091" ht="15">
      <c r="J1091" s="40"/>
    </row>
    <row r="1092" ht="15">
      <c r="J1092" s="40"/>
    </row>
    <row r="1093" ht="15">
      <c r="J1093" s="40"/>
    </row>
    <row r="1094" ht="15">
      <c r="J1094" s="40"/>
    </row>
    <row r="1095" ht="15">
      <c r="J1095" s="40"/>
    </row>
    <row r="1096" ht="15">
      <c r="J1096" s="40"/>
    </row>
    <row r="1097" ht="15">
      <c r="J1097" s="40"/>
    </row>
    <row r="1098" ht="15">
      <c r="J1098" s="40"/>
    </row>
    <row r="1099" ht="15">
      <c r="J1099" s="40"/>
    </row>
    <row r="1100" ht="15">
      <c r="J1100" s="40"/>
    </row>
    <row r="1101" ht="15">
      <c r="J1101" s="40"/>
    </row>
    <row r="1102" ht="15">
      <c r="J1102" s="40"/>
    </row>
    <row r="1103" ht="15">
      <c r="J1103" s="40"/>
    </row>
    <row r="1104" ht="15">
      <c r="J1104" s="40"/>
    </row>
    <row r="1105" ht="15">
      <c r="J1105" s="40"/>
    </row>
    <row r="1106" ht="15">
      <c r="J1106" s="40"/>
    </row>
    <row r="1107" ht="15">
      <c r="J1107" s="40"/>
    </row>
    <row r="1108" ht="15">
      <c r="J1108" s="40"/>
    </row>
    <row r="1109" ht="15">
      <c r="J1109" s="40"/>
    </row>
    <row r="1110" ht="15">
      <c r="J1110" s="40"/>
    </row>
    <row r="1111" ht="15">
      <c r="J1111" s="40"/>
    </row>
    <row r="1112" ht="15">
      <c r="J1112" s="40"/>
    </row>
    <row r="1113" ht="15">
      <c r="J1113" s="40"/>
    </row>
    <row r="1114" ht="15">
      <c r="J1114" s="40"/>
    </row>
    <row r="1115" ht="15">
      <c r="J1115" s="40"/>
    </row>
    <row r="1116" ht="15">
      <c r="J1116" s="40"/>
    </row>
    <row r="1117" ht="15">
      <c r="J1117" s="40"/>
    </row>
    <row r="1118" ht="15">
      <c r="J1118" s="40"/>
    </row>
    <row r="1119" ht="15">
      <c r="J1119" s="40"/>
    </row>
    <row r="1120" ht="15">
      <c r="J1120" s="40"/>
    </row>
    <row r="1121" ht="15">
      <c r="J1121" s="40"/>
    </row>
    <row r="1122" ht="15">
      <c r="J1122" s="40"/>
    </row>
    <row r="1123" ht="15">
      <c r="J1123" s="40"/>
    </row>
    <row r="1124" ht="15">
      <c r="J1124" s="40"/>
    </row>
    <row r="1125" ht="15">
      <c r="J1125" s="40"/>
    </row>
    <row r="1126" ht="15">
      <c r="J1126" s="40"/>
    </row>
    <row r="1127" ht="15">
      <c r="J1127" s="40"/>
    </row>
    <row r="1128" ht="15">
      <c r="J1128" s="40"/>
    </row>
    <row r="1129" ht="15">
      <c r="J1129" s="40"/>
    </row>
    <row r="1130" ht="15">
      <c r="J1130" s="40"/>
    </row>
    <row r="1131" ht="15">
      <c r="J1131" s="40"/>
    </row>
    <row r="1132" ht="15">
      <c r="J1132" s="40"/>
    </row>
    <row r="1133" ht="15">
      <c r="J1133" s="40"/>
    </row>
    <row r="1134" ht="15">
      <c r="J1134" s="40"/>
    </row>
    <row r="1135" ht="15">
      <c r="J1135" s="40"/>
    </row>
    <row r="1136" ht="15">
      <c r="J1136" s="40"/>
    </row>
    <row r="1137" ht="15">
      <c r="J1137" s="40"/>
    </row>
    <row r="1138" ht="15">
      <c r="J1138" s="40"/>
    </row>
    <row r="1139" ht="15">
      <c r="J1139" s="40"/>
    </row>
    <row r="1140" ht="15">
      <c r="J1140" s="40"/>
    </row>
    <row r="1141" ht="15">
      <c r="J1141" s="40"/>
    </row>
    <row r="1142" ht="15">
      <c r="J1142" s="40"/>
    </row>
    <row r="1143" ht="15">
      <c r="J1143" s="40"/>
    </row>
    <row r="1144" ht="15">
      <c r="J1144" s="40"/>
    </row>
    <row r="1145" ht="15">
      <c r="J1145" s="40"/>
    </row>
    <row r="1146" ht="15">
      <c r="J1146" s="40"/>
    </row>
    <row r="1147" ht="15">
      <c r="J1147" s="40"/>
    </row>
    <row r="1148" ht="15">
      <c r="J1148" s="40"/>
    </row>
    <row r="1149" ht="15">
      <c r="J1149" s="40"/>
    </row>
    <row r="1150" ht="15">
      <c r="J1150" s="40"/>
    </row>
    <row r="1151" ht="15">
      <c r="J1151" s="40"/>
    </row>
    <row r="1152" ht="15">
      <c r="J1152" s="40"/>
    </row>
    <row r="1153" ht="15">
      <c r="J1153" s="40"/>
    </row>
    <row r="1154" ht="15">
      <c r="J1154" s="40"/>
    </row>
    <row r="1155" ht="15">
      <c r="J1155" s="40"/>
    </row>
    <row r="1156" ht="15">
      <c r="J1156" s="40"/>
    </row>
    <row r="1157" ht="15">
      <c r="J1157" s="40"/>
    </row>
    <row r="1158" ht="15">
      <c r="J1158" s="40"/>
    </row>
    <row r="1159" ht="15">
      <c r="J1159" s="40"/>
    </row>
  </sheetData>
  <sheetProtection/>
  <mergeCells count="21">
    <mergeCell ref="K3:L4"/>
    <mergeCell ref="D3:D4"/>
    <mergeCell ref="H3:H4"/>
    <mergeCell ref="M5:U5"/>
    <mergeCell ref="E3:E4"/>
    <mergeCell ref="Q3:Q4"/>
    <mergeCell ref="A1:U1"/>
    <mergeCell ref="S3:U3"/>
    <mergeCell ref="O3:O4"/>
    <mergeCell ref="A3:A4"/>
    <mergeCell ref="B3:B4"/>
    <mergeCell ref="M3:M4"/>
    <mergeCell ref="I3:I4"/>
    <mergeCell ref="P3:P4"/>
    <mergeCell ref="C3:C4"/>
    <mergeCell ref="R3:R4"/>
    <mergeCell ref="A32:D32"/>
    <mergeCell ref="N3:N4"/>
    <mergeCell ref="J3:J4"/>
    <mergeCell ref="F3:F4"/>
    <mergeCell ref="G3:G4"/>
  </mergeCells>
  <printOptions/>
  <pageMargins left="0.15748031496062992" right="0.15748031496062992" top="0.2362204724409449" bottom="0.2362204724409449" header="0.1968503937007874" footer="0.1574803149606299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Windows User</cp:lastModifiedBy>
  <cp:lastPrinted>2017-03-22T04:36:07Z</cp:lastPrinted>
  <dcterms:created xsi:type="dcterms:W3CDTF">2014-07-22T09:27:19Z</dcterms:created>
  <dcterms:modified xsi:type="dcterms:W3CDTF">2017-03-22T04:44:54Z</dcterms:modified>
  <cp:category/>
  <cp:version/>
  <cp:contentType/>
  <cp:contentStatus/>
</cp:coreProperties>
</file>